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vanderburghhouse.sharepoint.com/sites/allstaff-Templates/Shared Documents/📄 Templates/4. Operator Forms/"/>
    </mc:Choice>
  </mc:AlternateContent>
  <xr:revisionPtr revIDLastSave="2284" documentId="8_{1818744D-CA99-4032-8FFF-B44480C0CF1E}" xr6:coauthVersionLast="47" xr6:coauthVersionMax="47" xr10:uidLastSave="{0453E119-0EFF-4A37-B4EE-26F612EBBC47}"/>
  <bookViews>
    <workbookView xWindow="-110" yWindow="-110" windowWidth="22780" windowHeight="14660" tabRatio="579" xr2:uid="{42FBA585-60E0-4846-A672-DAD657DC70DB}"/>
  </bookViews>
  <sheets>
    <sheet name="Assumptions" sheetId="9" r:id="rId1"/>
    <sheet name="Financials" sheetId="6" r:id="rId2"/>
    <sheet name="Breakeven" sheetId="13" r:id="rId3"/>
    <sheet name="Startup" sheetId="12" r:id="rId4"/>
    <sheet name="12-Month Estimates" sheetId="8" r:id="rId5"/>
    <sheet name="Samples"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H39" i="6"/>
  <c r="F39" i="6" s="1"/>
  <c r="E16" i="12" l="1"/>
  <c r="C9" i="6"/>
  <c r="J5" i="6"/>
  <c r="H5" i="6" s="1"/>
  <c r="J6" i="6"/>
  <c r="H6" i="6" s="1"/>
  <c r="C33" i="9" l="1"/>
  <c r="B33" i="9"/>
  <c r="C55" i="9" l="1"/>
  <c r="E21" i="9"/>
  <c r="D21" i="9"/>
  <c r="D5" i="6" s="1"/>
  <c r="E18" i="12"/>
  <c r="E17" i="12"/>
  <c r="H35" i="6"/>
  <c r="F35" i="6" s="1"/>
  <c r="B59" i="9"/>
  <c r="B55" i="9"/>
  <c r="C29" i="9"/>
  <c r="B29" i="9"/>
  <c r="C51" i="9" l="1"/>
  <c r="F43" i="6"/>
  <c r="H43" i="6" s="1"/>
  <c r="D6" i="6"/>
  <c r="D7" i="6" s="1"/>
  <c r="H34" i="6"/>
  <c r="L1" i="13"/>
  <c r="L2" i="13" s="1"/>
  <c r="H33" i="6"/>
  <c r="C37" i="9"/>
  <c r="B37" i="9"/>
  <c r="C10" i="6" l="1"/>
  <c r="F23" i="6" s="1"/>
  <c r="F45" i="6"/>
  <c r="C3" i="8"/>
  <c r="E31" i="12"/>
  <c r="E30" i="12"/>
  <c r="E21" i="12"/>
  <c r="E20" i="12"/>
  <c r="E22" i="12"/>
  <c r="E19" i="12"/>
  <c r="E11" i="12"/>
  <c r="E9" i="12"/>
  <c r="E10" i="12"/>
  <c r="E15" i="12"/>
  <c r="H42" i="10"/>
  <c r="J42" i="10"/>
  <c r="F42" i="10"/>
  <c r="H37" i="6"/>
  <c r="F37" i="6" s="1"/>
  <c r="B83" i="9"/>
  <c r="H48" i="6"/>
  <c r="H38" i="6"/>
  <c r="F38" i="6" s="1"/>
  <c r="H36" i="6"/>
  <c r="F36" i="6" s="1"/>
  <c r="H31" i="6"/>
  <c r="F31" i="6" s="1"/>
  <c r="F22" i="6" l="1"/>
  <c r="H3" i="8"/>
  <c r="F3" i="8"/>
  <c r="D3" i="8"/>
  <c r="G3" i="8"/>
  <c r="E3" i="8"/>
  <c r="F48" i="6"/>
  <c r="E15" i="8"/>
  <c r="E12" i="12"/>
  <c r="F15" i="8" s="1"/>
  <c r="D15" i="8"/>
  <c r="E32" i="12"/>
  <c r="E23" i="12"/>
  <c r="F33" i="6"/>
  <c r="H15" i="8" l="1"/>
  <c r="G15" i="8"/>
  <c r="H29" i="6" l="1"/>
  <c r="F29" i="6" s="1"/>
  <c r="H28" i="6"/>
  <c r="F28" i="6" s="1"/>
  <c r="B41" i="9"/>
  <c r="C41" i="9"/>
  <c r="H30" i="6" l="1"/>
  <c r="F30" i="6" s="1"/>
  <c r="H32" i="6"/>
  <c r="F32" i="6" s="1"/>
  <c r="J45" i="10" l="1"/>
  <c r="F45" i="10"/>
  <c r="H45" i="10"/>
  <c r="F16" i="10"/>
  <c r="J23" i="10"/>
  <c r="J15" i="10"/>
  <c r="F23" i="10"/>
  <c r="F15" i="10"/>
  <c r="J16" i="10" l="1"/>
  <c r="J17" i="10" s="1"/>
  <c r="J24" i="10" s="1"/>
  <c r="H17" i="10"/>
  <c r="H24" i="10" s="1"/>
  <c r="H41" i="10" l="1"/>
  <c r="H47" i="10" s="1"/>
  <c r="H49" i="10" s="1"/>
  <c r="J41" i="10"/>
  <c r="F17" i="10"/>
  <c r="J47" i="10" l="1"/>
  <c r="J49" i="10" s="1"/>
  <c r="F24" i="10"/>
  <c r="F41" i="10" l="1"/>
  <c r="F47" i="10" s="1"/>
  <c r="F49" i="10" s="1"/>
  <c r="E16" i="6" l="1"/>
  <c r="F16" i="6" s="1"/>
  <c r="F24" i="6"/>
  <c r="O26" i="8" l="1"/>
  <c r="H16" i="6"/>
  <c r="I15" i="8" l="1"/>
  <c r="J15" i="8" s="1"/>
  <c r="K15" i="8" s="1"/>
  <c r="L15" i="8" s="1"/>
  <c r="M15" i="8" s="1"/>
  <c r="N15" i="8" s="1"/>
  <c r="O15" i="8" s="1"/>
  <c r="D23" i="8"/>
  <c r="F15" i="6"/>
  <c r="D11" i="8"/>
  <c r="E11" i="8"/>
  <c r="F11" i="8"/>
  <c r="G11" i="8"/>
  <c r="E17" i="6"/>
  <c r="H24" i="6"/>
  <c r="A1" i="9"/>
  <c r="A1" i="13" s="1"/>
  <c r="O27" i="8"/>
  <c r="G19" i="8"/>
  <c r="G5" i="8"/>
  <c r="F5" i="8"/>
  <c r="E5" i="8"/>
  <c r="A1" i="6" l="1"/>
  <c r="A1" i="8" s="1"/>
  <c r="A1" i="12"/>
  <c r="H45" i="6"/>
  <c r="H40" i="6"/>
  <c r="O28" i="8"/>
  <c r="D29" i="8"/>
  <c r="E16" i="8"/>
  <c r="F16" i="8" s="1"/>
  <c r="G16" i="8" s="1"/>
  <c r="H16" i="8" s="1"/>
  <c r="I16" i="8" s="1"/>
  <c r="J16" i="8" s="1"/>
  <c r="K16" i="8" s="1"/>
  <c r="L16" i="8" s="1"/>
  <c r="M16" i="8" s="1"/>
  <c r="N16" i="8" s="1"/>
  <c r="O16" i="8" s="1"/>
  <c r="F22" i="8"/>
  <c r="H22" i="8"/>
  <c r="D6" i="8"/>
  <c r="H15" i="6"/>
  <c r="E17" i="8"/>
  <c r="F17" i="8" s="1"/>
  <c r="G17" i="8" s="1"/>
  <c r="H17" i="8" s="1"/>
  <c r="I17" i="8" s="1"/>
  <c r="J17" i="8" s="1"/>
  <c r="K17" i="8" s="1"/>
  <c r="L17" i="8" s="1"/>
  <c r="M17" i="8" s="1"/>
  <c r="N17" i="8" s="1"/>
  <c r="O17" i="8" s="1"/>
  <c r="G18" i="8"/>
  <c r="J18" i="8" s="1"/>
  <c r="M18" i="8" s="1"/>
  <c r="N22" i="8"/>
  <c r="M22" i="8"/>
  <c r="O22" i="8"/>
  <c r="L22" i="8"/>
  <c r="E22" i="8"/>
  <c r="J22" i="8"/>
  <c r="J20" i="8"/>
  <c r="G22" i="8"/>
  <c r="K22" i="8"/>
  <c r="I22" i="8"/>
  <c r="F17" i="6"/>
  <c r="F6" i="8"/>
  <c r="G6" i="8"/>
  <c r="E6" i="8"/>
  <c r="F18" i="6" l="1"/>
  <c r="E25" i="8"/>
  <c r="F25" i="8" s="1"/>
  <c r="G25" i="8" s="1"/>
  <c r="H25" i="8" s="1"/>
  <c r="I25" i="8" s="1"/>
  <c r="J25" i="8" s="1"/>
  <c r="K25" i="8" s="1"/>
  <c r="L25" i="8" s="1"/>
  <c r="M25" i="8" s="1"/>
  <c r="N25" i="8" s="1"/>
  <c r="O25" i="8" s="1"/>
  <c r="H21" i="6"/>
  <c r="H22" i="6"/>
  <c r="E10" i="8" s="1"/>
  <c r="G8" i="8"/>
  <c r="G12" i="8"/>
  <c r="F8" i="8"/>
  <c r="F12" i="8"/>
  <c r="D8" i="8"/>
  <c r="D12" i="8"/>
  <c r="E8" i="8"/>
  <c r="E12" i="8"/>
  <c r="H17" i="6"/>
  <c r="P15" i="8"/>
  <c r="J26" i="8"/>
  <c r="K26" i="8" s="1"/>
  <c r="L26" i="8" s="1"/>
  <c r="M26" i="8" s="1"/>
  <c r="N26" i="8" s="1"/>
  <c r="E23" i="8"/>
  <c r="F23" i="8" s="1"/>
  <c r="G23" i="8" s="1"/>
  <c r="H23" i="8" s="1"/>
  <c r="I23" i="8" s="1"/>
  <c r="J23" i="8" s="1"/>
  <c r="K23" i="8" s="1"/>
  <c r="L23" i="8" s="1"/>
  <c r="M23" i="8" s="1"/>
  <c r="N23" i="8" s="1"/>
  <c r="O23" i="8" s="1"/>
  <c r="P17" i="8"/>
  <c r="G28" i="8"/>
  <c r="H28" i="8" s="1"/>
  <c r="I28" i="8" s="1"/>
  <c r="J28" i="8" s="1"/>
  <c r="K28" i="8" s="1"/>
  <c r="L28" i="8" s="1"/>
  <c r="M28" i="8" s="1"/>
  <c r="N28" i="8" s="1"/>
  <c r="P16" i="8"/>
  <c r="P18" i="8"/>
  <c r="I3" i="8"/>
  <c r="I5" i="8" s="1"/>
  <c r="P22" i="8"/>
  <c r="K20" i="8"/>
  <c r="L20" i="8" s="1"/>
  <c r="M20" i="8" s="1"/>
  <c r="N20" i="8" s="1"/>
  <c r="O20" i="8" s="1"/>
  <c r="J3" i="8" l="1"/>
  <c r="J6" i="8" s="1"/>
  <c r="J12" i="8" s="1"/>
  <c r="C4" i="8"/>
  <c r="D10" i="8"/>
  <c r="G10" i="8"/>
  <c r="F10" i="8"/>
  <c r="F25" i="6"/>
  <c r="H23" i="6"/>
  <c r="H18" i="6"/>
  <c r="P23" i="8"/>
  <c r="P25" i="8"/>
  <c r="P26" i="8"/>
  <c r="P28" i="8"/>
  <c r="P20" i="8"/>
  <c r="I4" i="8" l="1"/>
  <c r="D4" i="8"/>
  <c r="E4" i="8"/>
  <c r="E9" i="8" s="1"/>
  <c r="E13" i="8" s="1"/>
  <c r="F4" i="8"/>
  <c r="F9" i="8" s="1"/>
  <c r="F13" i="8" s="1"/>
  <c r="G4" i="8"/>
  <c r="G9" i="8" s="1"/>
  <c r="G13" i="8" s="1"/>
  <c r="H4" i="8"/>
  <c r="H9" i="8" s="1"/>
  <c r="F44" i="6"/>
  <c r="H44" i="6" s="1"/>
  <c r="J10" i="8"/>
  <c r="H25" i="6"/>
  <c r="H11" i="8"/>
  <c r="H5" i="8"/>
  <c r="H19" i="8"/>
  <c r="H6" i="8"/>
  <c r="I19" i="8"/>
  <c r="I6" i="8"/>
  <c r="I11" i="8"/>
  <c r="J4" i="8"/>
  <c r="I9" i="8"/>
  <c r="E24" i="8" l="1"/>
  <c r="G24" i="8"/>
  <c r="H24" i="8"/>
  <c r="F24" i="8"/>
  <c r="I24" i="8"/>
  <c r="J24" i="8"/>
  <c r="D9" i="8"/>
  <c r="D13" i="8" s="1"/>
  <c r="D30" i="8" s="1"/>
  <c r="D31" i="8" s="1"/>
  <c r="D5" i="8"/>
  <c r="J31" i="6"/>
  <c r="J43" i="6"/>
  <c r="H8" i="8"/>
  <c r="H12" i="8"/>
  <c r="H10" i="8"/>
  <c r="I8" i="8"/>
  <c r="I10" i="8"/>
  <c r="I12" i="8"/>
  <c r="J40" i="6"/>
  <c r="J30" i="6"/>
  <c r="J39" i="6"/>
  <c r="J45" i="6"/>
  <c r="J28" i="6"/>
  <c r="J33" i="6"/>
  <c r="J38" i="6"/>
  <c r="J35" i="6"/>
  <c r="J32" i="6"/>
  <c r="J36" i="6"/>
  <c r="J29" i="6"/>
  <c r="J37" i="6"/>
  <c r="J48" i="6"/>
  <c r="J8" i="8"/>
  <c r="J5" i="8"/>
  <c r="K3" i="8"/>
  <c r="K24" i="8" s="1"/>
  <c r="J11" i="8"/>
  <c r="J19" i="8"/>
  <c r="J9" i="8"/>
  <c r="K4" i="8"/>
  <c r="H13" i="8" l="1"/>
  <c r="I13" i="8"/>
  <c r="J44" i="6"/>
  <c r="L4" i="8"/>
  <c r="K9" i="8"/>
  <c r="J13" i="8"/>
  <c r="K19" i="8"/>
  <c r="K5" i="8"/>
  <c r="K6" i="8"/>
  <c r="K11" i="8"/>
  <c r="L3" i="8"/>
  <c r="L24" i="8" s="1"/>
  <c r="K8" i="8" l="1"/>
  <c r="K12" i="8"/>
  <c r="K10" i="8"/>
  <c r="L6" i="8"/>
  <c r="L11" i="8"/>
  <c r="L5" i="8"/>
  <c r="M3" i="8"/>
  <c r="M24" i="8" s="1"/>
  <c r="L19" i="8"/>
  <c r="L9" i="8"/>
  <c r="M4" i="8"/>
  <c r="K13" i="8" l="1"/>
  <c r="L8" i="8"/>
  <c r="L12" i="8"/>
  <c r="L10" i="8"/>
  <c r="N4" i="8"/>
  <c r="M9" i="8"/>
  <c r="M11" i="8"/>
  <c r="N3" i="8"/>
  <c r="N24" i="8" s="1"/>
  <c r="M19" i="8"/>
  <c r="M6" i="8"/>
  <c r="M5" i="8"/>
  <c r="L13" i="8" l="1"/>
  <c r="M8" i="8"/>
  <c r="M10" i="8"/>
  <c r="M12" i="8"/>
  <c r="N6" i="8"/>
  <c r="N11" i="8"/>
  <c r="O3" i="8"/>
  <c r="O24" i="8" s="1"/>
  <c r="N19" i="8"/>
  <c r="N5" i="8"/>
  <c r="N9" i="8"/>
  <c r="O4" i="8"/>
  <c r="O9" i="8" s="1"/>
  <c r="M13" i="8" l="1"/>
  <c r="N8" i="8"/>
  <c r="N12" i="8"/>
  <c r="N10" i="8"/>
  <c r="P9" i="8"/>
  <c r="O11" i="8"/>
  <c r="P11" i="8" s="1"/>
  <c r="O19" i="8"/>
  <c r="P19" i="8" s="1"/>
  <c r="O6" i="8"/>
  <c r="O5" i="8"/>
  <c r="N13" i="8" l="1"/>
  <c r="O8" i="8"/>
  <c r="O12" i="8"/>
  <c r="P12" i="8" s="1"/>
  <c r="O10" i="8"/>
  <c r="P10" i="8" s="1"/>
  <c r="O13" i="8" l="1"/>
  <c r="P8" i="8"/>
  <c r="P13" i="8" l="1"/>
  <c r="P24" i="8"/>
  <c r="E27" i="8" l="1"/>
  <c r="F27" i="8" l="1"/>
  <c r="G27" i="8" l="1"/>
  <c r="H27" i="8" l="1"/>
  <c r="I27" i="8" l="1"/>
  <c r="J27" i="8" l="1"/>
  <c r="K27" i="8" l="1"/>
  <c r="L27" i="8" l="1"/>
  <c r="M27" i="8" l="1"/>
  <c r="N27" i="8" l="1"/>
  <c r="P27" i="8" l="1"/>
  <c r="J34" i="6"/>
  <c r="E21" i="8"/>
  <c r="E29" i="8" s="1"/>
  <c r="F34" i="6"/>
  <c r="F50" i="6" l="1"/>
  <c r="F8" i="13" s="1"/>
  <c r="F7" i="13"/>
  <c r="F21" i="8"/>
  <c r="F29" i="8" s="1"/>
  <c r="F30" i="8" s="1"/>
  <c r="E30" i="8"/>
  <c r="H50" i="6" l="1"/>
  <c r="J50" i="6" s="1"/>
  <c r="F52" i="6"/>
  <c r="H52" i="6" s="1"/>
  <c r="J52" i="6" s="1"/>
  <c r="C13" i="13"/>
  <c r="C14" i="13"/>
  <c r="C27" i="13"/>
  <c r="C24" i="13"/>
  <c r="C15" i="13"/>
  <c r="C21" i="13"/>
  <c r="F9" i="13"/>
  <c r="C23" i="13"/>
  <c r="C19" i="13"/>
  <c r="C26" i="13"/>
  <c r="C18" i="13"/>
  <c r="C29" i="13"/>
  <c r="C17" i="13"/>
  <c r="C28" i="13"/>
  <c r="C25" i="13"/>
  <c r="C22" i="13"/>
  <c r="C16" i="13"/>
  <c r="C20" i="13"/>
  <c r="G21" i="8"/>
  <c r="G29" i="8" s="1"/>
  <c r="G30" i="8" s="1"/>
  <c r="E31" i="8"/>
  <c r="H21" i="8" l="1"/>
  <c r="F31" i="8"/>
  <c r="G31" i="8" s="1"/>
  <c r="H29" i="8" l="1"/>
  <c r="H30" i="8" s="1"/>
  <c r="H31" i="8" s="1"/>
  <c r="I21" i="8"/>
  <c r="J21" i="8" l="1"/>
  <c r="I29" i="8"/>
  <c r="I30" i="8" s="1"/>
  <c r="I31" i="8" s="1"/>
  <c r="J29" i="8" l="1"/>
  <c r="J30" i="8" s="1"/>
  <c r="J31" i="8" s="1"/>
  <c r="K21" i="8"/>
  <c r="L21" i="8" l="1"/>
  <c r="K29" i="8"/>
  <c r="K30" i="8" s="1"/>
  <c r="K31" i="8" s="1"/>
  <c r="L29" i="8" l="1"/>
  <c r="L30" i="8" s="1"/>
  <c r="L31" i="8" s="1"/>
  <c r="M21" i="8"/>
  <c r="N21" i="8" l="1"/>
  <c r="M29" i="8"/>
  <c r="M30" i="8" s="1"/>
  <c r="M31" i="8" s="1"/>
  <c r="O21" i="8" l="1"/>
  <c r="N29" i="8"/>
  <c r="N30" i="8" s="1"/>
  <c r="N31" i="8" s="1"/>
  <c r="P21" i="8" l="1"/>
  <c r="O29" i="8"/>
  <c r="O30" i="8" l="1"/>
  <c r="P29" i="8"/>
  <c r="P30" i="8" l="1"/>
  <c r="O31" i="8"/>
  <c r="E24" i="12" l="1"/>
  <c r="E25" i="12" s="1"/>
  <c r="L6" i="12" s="1"/>
  <c r="P31" i="8"/>
  <c r="E35" i="12" l="1"/>
  <c r="E36" i="12" s="1"/>
  <c r="L27" i="12" s="1"/>
</calcChain>
</file>

<file path=xl/sharedStrings.xml><?xml version="1.0" encoding="utf-8"?>
<sst xmlns="http://schemas.openxmlformats.org/spreadsheetml/2006/main" count="386" uniqueCount="276">
  <si>
    <t>Assumptions</t>
  </si>
  <si>
    <t>https://knowledge.vanderburghcommunities.com/potential-site-analysis</t>
  </si>
  <si>
    <t>#️⃣ Basic Information</t>
  </si>
  <si>
    <t>Property Address</t>
  </si>
  <si>
    <t>12 Sample Street, Anytown, MA</t>
  </si>
  <si>
    <t>Input your estimated vacancy rate--typically between from 0% to 20% for stable homes.</t>
  </si>
  <si>
    <t>Intake fee</t>
  </si>
  <si>
    <t>Input the intake fee or prepaid rent deposit charged at the time of move-in.</t>
  </si>
  <si>
    <t>House Mentors</t>
  </si>
  <si>
    <t>Mentor Compensation</t>
  </si>
  <si>
    <t>Free Rent</t>
  </si>
  <si>
    <t>Building size</t>
  </si>
  <si>
    <t>🛌🏻 Beds &amp; Rent</t>
  </si>
  <si>
    <t>Private Beds</t>
  </si>
  <si>
    <t>Shared Beds</t>
  </si>
  <si>
    <t>Rental rate | weekly</t>
  </si>
  <si>
    <r>
      <t xml:space="preserve">Input the </t>
    </r>
    <r>
      <rPr>
        <b/>
        <sz val="10"/>
        <color rgb="FF002060"/>
        <rFont val="Garamond"/>
        <family val="1"/>
      </rPr>
      <t>weekly</t>
    </r>
    <r>
      <rPr>
        <sz val="10"/>
        <color rgb="FF002060"/>
        <rFont val="Garamond"/>
        <family val="1"/>
      </rPr>
      <t xml:space="preserve"> rate you will charge for private and shared beds in the orange cells to the left.</t>
    </r>
  </si>
  <si>
    <t>First Floor</t>
  </si>
  <si>
    <t>Second Floor</t>
  </si>
  <si>
    <t>Third Floor</t>
  </si>
  <si>
    <t>Basement or other Area</t>
  </si>
  <si>
    <t>Total</t>
  </si>
  <si>
    <t>💲 Operating Expense Estimates</t>
  </si>
  <si>
    <t>Lease Expense</t>
  </si>
  <si>
    <t>Monthly</t>
  </si>
  <si>
    <r>
      <t xml:space="preserve">What is the </t>
    </r>
    <r>
      <rPr>
        <b/>
        <sz val="9"/>
        <color rgb="FF002060"/>
        <rFont val="Garamond"/>
        <family val="1"/>
      </rPr>
      <t>monthly lease cost</t>
    </r>
    <r>
      <rPr>
        <sz val="9"/>
        <color rgb="FF002060"/>
        <rFont val="Garamond"/>
        <family val="1"/>
      </rPr>
      <t xml:space="preserve"> for this home? This information should be obtained from the landlord. Include the lease payment and any other lease-related charges and costs. If you are purchasing a home or already own this home, input the monthly mortgage payment including taxes and property insurance.</t>
    </r>
  </si>
  <si>
    <t>Heating Cost</t>
  </si>
  <si>
    <t xml:space="preserve">Input your estimated monthly heating costs. This may be for natural gas, oil, or other heating fuel. Remember, this is an average across the year, not just over the heating season months. The estimates provided are based on the size of the home, multipled by low-average and high-average rates we've seen. Input what you believe to be a reasonable estimate for your monthly heating costs. </t>
  </si>
  <si>
    <t>Low Estimate</t>
  </si>
  <si>
    <t>High Estimate</t>
  </si>
  <si>
    <t>Electricity Service</t>
  </si>
  <si>
    <t>Operators pay for standard electricity service in their home. The estimates provided are based on the size of the home, multipled by low-average and high-average rates we've seen.</t>
  </si>
  <si>
    <t>Water &amp; Sewer</t>
  </si>
  <si>
    <t>Operators typically pay for water and sewer expenses serving the home. This may vary depending on the lease structure. The estimates provided are based on number of beds in the home. We encourage you to conduct further research on these specific costs.</t>
  </si>
  <si>
    <t>Drug Screens</t>
  </si>
  <si>
    <t>Operators are expected to conduct drug screens regularly, which requires the purchase of drug screening supplies (quick cups, etc.). Estimated costs range from a low estimate of one screen per week, at a cost of $1.50 per screen, to screening twice per week at a cost of $2.50 per screen. This figure can vary greatly, so carefully consider the frequency you wish to screen guests, as well as your estimated costs for purchasing the screens themselves. Input a monthly budget for this expense.</t>
  </si>
  <si>
    <t>Trash Disposal</t>
  </si>
  <si>
    <t>Internet &amp; TV</t>
  </si>
  <si>
    <t>Input the estimated monthly cost for providing internet and TV at your home. Prices will vary based on location and the desired service. We typically see these costs ranging from $60 per month for internet only, to $135 per month or more for expanded cable packages.</t>
  </si>
  <si>
    <t>House Supplies</t>
  </si>
  <si>
    <t>Repairs &amp; Maintenance</t>
  </si>
  <si>
    <t>Liability Insurance</t>
  </si>
  <si>
    <t>Annual</t>
  </si>
  <si>
    <t>Estimate</t>
  </si>
  <si>
    <t>⚙️ Business Administrative Expense Estimates</t>
  </si>
  <si>
    <t>Core Services</t>
  </si>
  <si>
    <t>Billing Rate | % of Revenue</t>
  </si>
  <si>
    <t>Yes</t>
  </si>
  <si>
    <t>Intake Services</t>
  </si>
  <si>
    <t>Billing Rate | Charge per bed</t>
  </si>
  <si>
    <t>Salary &amp; Payroll Costs</t>
  </si>
  <si>
    <t xml:space="preserve">Most Operators do not hire paid staff. If you intend on hiring staff, please input the estimated monthly cost. </t>
  </si>
  <si>
    <t>Marketing Materials</t>
  </si>
  <si>
    <t>We recommend an annual printed marketing material budget of anywhere from $100 to $600. The average we recommend is $300 per year.</t>
  </si>
  <si>
    <t>Administrative Costs</t>
  </si>
  <si>
    <t>Input your estimated annual administrative costs, including LLC or corporation annual reports, tax filing fees and costs, and other administrative or professional services. If you are already covering these expenses on another home, you can leave this at zero.</t>
  </si>
  <si>
    <t>➕ Startup Assumptions</t>
  </si>
  <si>
    <t>New Operator Training?</t>
  </si>
  <si>
    <t>Up-front lease payments</t>
  </si>
  <si>
    <t>Input the number of up-front lease payments due upon signing the lease.</t>
  </si>
  <si>
    <t>Initial drug screen budget</t>
  </si>
  <si>
    <t>Input the budget for drug screens you plan on purchasing up-front. We recommend at least $500 for your first home.</t>
  </si>
  <si>
    <t>Intial marketing materials</t>
  </si>
  <si>
    <t>We recommend this budget to be between $300 and $900 for new homes. Existing homes may not require as much of a budget.</t>
  </si>
  <si>
    <t>Advertising</t>
  </si>
  <si>
    <t>Certification cost estimate</t>
  </si>
  <si>
    <t>Furniture &amp; appliances</t>
  </si>
  <si>
    <t>Will you need to purchase additional furniture or items beyond the standard furnishings offered as a part of your lease?</t>
  </si>
  <si>
    <t>Computer, etc.</t>
  </si>
  <si>
    <t>Add a budget for any computer devices for your business or your home.</t>
  </si>
  <si>
    <t>Entity formation</t>
  </si>
  <si>
    <t>Professional fees (forming legal entity, etc. estimated $300-900). Disregard if you already have an entity in place.</t>
  </si>
  <si>
    <t>Startup grants &amp; financing</t>
  </si>
  <si>
    <t>Grants:</t>
  </si>
  <si>
    <t>Financing:</t>
  </si>
  <si>
    <t>📊 Additional Assumptions</t>
  </si>
  <si>
    <t>Bed Turnover</t>
  </si>
  <si>
    <t>Input your estimated turnover for each bed each year. Typically, this ranges from 1 to 3 times per year.</t>
  </si>
  <si>
    <t>Laundry Charge</t>
  </si>
  <si>
    <t>Input the charge, if any, for on-site laundry machines--include both wash and dry in this figure.</t>
  </si>
  <si>
    <t>High-Energy Appliances</t>
  </si>
  <si>
    <t>Input the fee you will charge for the use of air conditioners or other high-energy appliances.</t>
  </si>
  <si>
    <t>Usage Rate</t>
  </si>
  <si>
    <t>High-energy appliance usage rate is the rate at which high-energy appliances will be used. Typically this figure is around 40%.</t>
  </si>
  <si>
    <t>Sponsorship Revenue</t>
  </si>
  <si>
    <t>Do you anticipate any sponsorship or support revenue per month? This could be in the form of donations, monthly "sponsor a bed" program, or similar initiatives.</t>
  </si>
  <si>
    <t>Total beds:</t>
  </si>
  <si>
    <t>Occupied beds (est):</t>
  </si>
  <si>
    <r>
      <rPr>
        <b/>
        <sz val="10"/>
        <color theme="5"/>
        <rFont val="Garamond"/>
        <family val="1"/>
      </rPr>
      <t xml:space="preserve">DISCLAIMER: </t>
    </r>
    <r>
      <rPr>
        <sz val="10"/>
        <color theme="5"/>
        <rFont val="Garamond"/>
        <family val="1"/>
      </rPr>
      <t>This calculator contains information based on assumptions given in the "</t>
    </r>
    <r>
      <rPr>
        <b/>
        <sz val="10"/>
        <color theme="5"/>
        <rFont val="Garamond"/>
        <family val="1"/>
      </rPr>
      <t>Assumptions</t>
    </r>
    <r>
      <rPr>
        <sz val="10"/>
        <color theme="5"/>
        <rFont val="Garamond"/>
        <family val="1"/>
      </rPr>
      <t>" tab. These projections are only as good as the assumptions provided! This is an analysis tool and not as any form of guarantee of future performance.</t>
    </r>
  </si>
  <si>
    <t>Operating Revenue</t>
  </si>
  <si>
    <t>Revenue Assumptions</t>
  </si>
  <si>
    <t>Total potential rent income</t>
  </si>
  <si>
    <t>Total beds, if all are occupied by paying guests</t>
  </si>
  <si>
    <t>Less: House Mentor</t>
  </si>
  <si>
    <t>Estimated House Mentor rent credit allowance</t>
  </si>
  <si>
    <t>Less: vacancy factor</t>
  </si>
  <si>
    <t>Estimated available bed vacancy loss</t>
  </si>
  <si>
    <t>Potential rent income</t>
  </si>
  <si>
    <t>Additional revenue</t>
  </si>
  <si>
    <t>Intake fee income</t>
  </si>
  <si>
    <t>Estimated intake fee income</t>
  </si>
  <si>
    <t>Laundry service income</t>
  </si>
  <si>
    <t>Revenue generated from on-site laundry</t>
  </si>
  <si>
    <t>Appliance surcharge income</t>
  </si>
  <si>
    <t>Appliance surcharge revenue estimate</t>
  </si>
  <si>
    <t>Support &amp; sponsorship income</t>
  </si>
  <si>
    <t>Total Projected Revenue</t>
  </si>
  <si>
    <t>Sum of potential rent income and additional revenue</t>
  </si>
  <si>
    <t>Operating Expenses</t>
  </si>
  <si>
    <t>Ratios</t>
  </si>
  <si>
    <t>Cost Assumptions</t>
  </si>
  <si>
    <t>Charter Maintenance Fee</t>
  </si>
  <si>
    <t>Billed monthly on a per-home basis</t>
  </si>
  <si>
    <t>Heating cost</t>
  </si>
  <si>
    <t>Estimated monthly cost</t>
  </si>
  <si>
    <t>Electricity cost</t>
  </si>
  <si>
    <t>Water &amp; sewer cost</t>
  </si>
  <si>
    <t>Gen./prof. liability insurance</t>
  </si>
  <si>
    <t>Urine drug screens</t>
  </si>
  <si>
    <t>Repairs &amp; maintenance</t>
  </si>
  <si>
    <t>House supplies</t>
  </si>
  <si>
    <t>Trash disposal</t>
  </si>
  <si>
    <t>Salary and payroll costs</t>
  </si>
  <si>
    <t>Annual estimated salary and payroll costs</t>
  </si>
  <si>
    <t>Printed marketing materials</t>
  </si>
  <si>
    <t>Printed marketing materials for your home</t>
  </si>
  <si>
    <t>Administrative costs</t>
  </si>
  <si>
    <t>Estimated cost for entity, legal, and tax filing</t>
  </si>
  <si>
    <t>Other expenses</t>
  </si>
  <si>
    <t>Vanderburgh House Payments</t>
  </si>
  <si>
    <t>Percentage-of-revenue fee for core services</t>
  </si>
  <si>
    <t>Per bed-based fee for intake support services</t>
  </si>
  <si>
    <t>Property lease payment</t>
  </si>
  <si>
    <t>Estimate provided</t>
  </si>
  <si>
    <t>Total Projected Expenses</t>
  </si>
  <si>
    <t>Sum of all projected expenses</t>
  </si>
  <si>
    <t>Net Operating Income</t>
  </si>
  <si>
    <t>Expected net income to Operator</t>
  </si>
  <si>
    <t>Breakeven Calculations</t>
  </si>
  <si>
    <t>Breakeven Calculation</t>
  </si>
  <si>
    <t>Revenue per Occupied Bed</t>
  </si>
  <si>
    <t>Per month</t>
  </si>
  <si>
    <t>This is the projected monthly revenue generated from each occupied bed, deducting out costs incurred on a per-guest basis (e.g. drug screens)</t>
  </si>
  <si>
    <t>Total Monthly Fixed Costs</t>
  </si>
  <si>
    <t>This is the projected monthly fixed cost, a total of all costs that do not vary based on number of guests in the home (e.g. lease costs)</t>
  </si>
  <si>
    <t>Breakeven Point: Number of Guests</t>
  </si>
  <si>
    <t>This figure represents fixed costs divided by revenue per occupied bed, reaching an estimated breakeven point</t>
  </si>
  <si>
    <t>Breakeven Chart</t>
  </si>
  <si>
    <t>Occupied Beds</t>
  </si>
  <si>
    <t>Monthly Net Income</t>
  </si>
  <si>
    <t>Startup Calculations</t>
  </si>
  <si>
    <r>
      <rPr>
        <b/>
        <sz val="10"/>
        <color theme="5"/>
        <rFont val="Garamond"/>
        <family val="1"/>
      </rPr>
      <t>DISCLAIMER:</t>
    </r>
    <r>
      <rPr>
        <sz val="10"/>
        <color theme="5"/>
        <rFont val="Garamond"/>
        <family val="1"/>
      </rPr>
      <t xml:space="preserve"> This calculator contains information based on assumptions given in the "</t>
    </r>
    <r>
      <rPr>
        <b/>
        <sz val="10"/>
        <color theme="5"/>
        <rFont val="Garamond"/>
        <family val="1"/>
      </rPr>
      <t>Assumptions</t>
    </r>
    <r>
      <rPr>
        <sz val="10"/>
        <color theme="5"/>
        <rFont val="Garamond"/>
        <family val="1"/>
      </rPr>
      <t>" tab. These projections are only as good as the assumptions provided! This is an analysis tool and not as any form of guarantee of future performance.</t>
    </r>
  </si>
  <si>
    <t>Startup Funds Required</t>
  </si>
  <si>
    <t>Real Estate</t>
  </si>
  <si>
    <t>First month's lease</t>
  </si>
  <si>
    <t>Property owner</t>
  </si>
  <si>
    <t>Last month's lease</t>
  </si>
  <si>
    <t>Security deposit</t>
  </si>
  <si>
    <t>Real Estate Total</t>
  </si>
  <si>
    <t>Other Startup Costs</t>
  </si>
  <si>
    <t>Estimated cost of initial drug screen order; 300 units &amp; urine sample cups</t>
  </si>
  <si>
    <t>Recommended $600 in printed marketing</t>
  </si>
  <si>
    <t>Recommended $3,600 in advertising budget</t>
  </si>
  <si>
    <t>Only incurred as needed, additional to items provided in Lease Agreement</t>
  </si>
  <si>
    <t>Only incurred as needed</t>
  </si>
  <si>
    <t>Estimated for forming legal entity, etc.</t>
  </si>
  <si>
    <t>First Month: Insurance</t>
  </si>
  <si>
    <t>First month of liability insurance cost (see Pro Forma)</t>
  </si>
  <si>
    <t>Working Capital</t>
  </si>
  <si>
    <t>Estimated working capital needed (based on 12-Month Estimates)</t>
  </si>
  <si>
    <t>Other Startup Costs Total</t>
  </si>
  <si>
    <t>Startup Funds Sources</t>
  </si>
  <si>
    <t>Grants</t>
  </si>
  <si>
    <t>Financing</t>
  </si>
  <si>
    <t>Required cash</t>
  </si>
  <si>
    <t>Cash required</t>
  </si>
  <si>
    <t>This is the total cash required, after grants and financing</t>
  </si>
  <si>
    <t>First 12-Month Estimates</t>
  </si>
  <si>
    <t>At stable</t>
  </si>
  <si>
    <t>Month 1</t>
  </si>
  <si>
    <t>Month 2</t>
  </si>
  <si>
    <t>Month 3</t>
  </si>
  <si>
    <t>Month 4</t>
  </si>
  <si>
    <t>Month 5</t>
  </si>
  <si>
    <t>Month 6</t>
  </si>
  <si>
    <t>Month 7</t>
  </si>
  <si>
    <t>Month 8</t>
  </si>
  <si>
    <t>Month 9</t>
  </si>
  <si>
    <t>Month 10</t>
  </si>
  <si>
    <t>Month 11</t>
  </si>
  <si>
    <t>Month 12</t>
  </si>
  <si>
    <t>Totals</t>
  </si>
  <si>
    <t>Occupied Beds (average)</t>
  </si>
  <si>
    <t>Intakes During Month</t>
  </si>
  <si>
    <t>Net Additional Guests</t>
  </si>
  <si>
    <t>Occupancy Rate</t>
  </si>
  <si>
    <t>Operating Revenue (monthly)</t>
  </si>
  <si>
    <t>Rent Income</t>
  </si>
  <si>
    <t>Deposit Income</t>
  </si>
  <si>
    <t>Laundry Income</t>
  </si>
  <si>
    <t>Appliance Surcharge Income</t>
  </si>
  <si>
    <t>Sponsorship &amp; Support</t>
  </si>
  <si>
    <t>Total Revenue</t>
  </si>
  <si>
    <t>Operating Expenses (monthly)</t>
  </si>
  <si>
    <t>Lease Payments</t>
  </si>
  <si>
    <t>Heat</t>
  </si>
  <si>
    <t>Electricity</t>
  </si>
  <si>
    <t>Water &amp; sewer</t>
  </si>
  <si>
    <t>Cable &amp; internet</t>
  </si>
  <si>
    <t>General/prof. liability insurance</t>
  </si>
  <si>
    <t>3rd party tax filing budget</t>
  </si>
  <si>
    <t>Total Expenses</t>
  </si>
  <si>
    <t>Accrued Cashflow (aggregate)</t>
  </si>
  <si>
    <t>Sample Pro Forma Statements</t>
  </si>
  <si>
    <t>Home 1</t>
  </si>
  <si>
    <t>Home 2</t>
  </si>
  <si>
    <t>Home 3</t>
  </si>
  <si>
    <t>Year</t>
  </si>
  <si>
    <t>Total Beds</t>
  </si>
  <si>
    <t>Size (sq. ft.)</t>
  </si>
  <si>
    <t>6450</t>
  </si>
  <si>
    <t>5158</t>
  </si>
  <si>
    <t>Gender</t>
  </si>
  <si>
    <t>Female</t>
  </si>
  <si>
    <t>Male</t>
  </si>
  <si>
    <t>City</t>
  </si>
  <si>
    <t>Worcester</t>
  </si>
  <si>
    <t>Southbridge</t>
  </si>
  <si>
    <t>Greenfield</t>
  </si>
  <si>
    <t>State</t>
  </si>
  <si>
    <t>Massachusetts</t>
  </si>
  <si>
    <t>Rent Revenue</t>
  </si>
  <si>
    <t>Total Rent Revenue</t>
  </si>
  <si>
    <t>Third party tax filing</t>
  </si>
  <si>
    <t>Vanderburgh Sober Living Payments</t>
  </si>
  <si>
    <t>Concierge Services</t>
  </si>
  <si>
    <r>
      <t xml:space="preserve">This </t>
    </r>
    <r>
      <rPr>
        <b/>
        <sz val="11"/>
        <color rgb="FF002060"/>
        <rFont val="Garamond"/>
        <family val="1"/>
      </rPr>
      <t xml:space="preserve">Sober House Financial Calculator </t>
    </r>
    <r>
      <rPr>
        <sz val="11"/>
        <color rgb="FF002060"/>
        <rFont val="Garamond"/>
        <family val="1"/>
      </rPr>
      <t xml:space="preserve">(SHFC) is a free resource provided by </t>
    </r>
    <r>
      <rPr>
        <b/>
        <sz val="11"/>
        <color rgb="FF002060"/>
        <rFont val="Garamond"/>
        <family val="1"/>
      </rPr>
      <t>Vanderburgh Sober Living.</t>
    </r>
    <r>
      <rPr>
        <sz val="11"/>
        <color rgb="FF002060"/>
        <rFont val="Garamond"/>
        <family val="1"/>
      </rPr>
      <t xml:space="preserve"> This tool is designed to assist an Operator in evaluating the financial elements of a new home. Use the </t>
    </r>
    <r>
      <rPr>
        <b/>
        <sz val="11"/>
        <color rgb="FF002060"/>
        <rFont val="Garamond"/>
        <family val="1"/>
      </rPr>
      <t>workbook tabs</t>
    </r>
    <r>
      <rPr>
        <sz val="11"/>
        <color rgb="FF002060"/>
        <rFont val="Garamond"/>
        <family val="1"/>
      </rPr>
      <t xml:space="preserve"> to switch between sections of the SHFC. Modify data in the </t>
    </r>
    <r>
      <rPr>
        <b/>
        <sz val="11"/>
        <color theme="5"/>
        <rFont val="Garamond"/>
        <family val="1"/>
      </rPr>
      <t>orange input cells</t>
    </r>
    <r>
      <rPr>
        <sz val="11"/>
        <color rgb="FF002060"/>
        <rFont val="Garamond"/>
        <family val="1"/>
      </rPr>
      <t xml:space="preserve"> - this will adjust the outputs throughout the SHFC. For more information and a comprehensive guide on analyzing a potential home, please visit:</t>
    </r>
  </si>
  <si>
    <t>Vacancy rate</t>
  </si>
  <si>
    <t>House Mentor(s)</t>
  </si>
  <si>
    <t>Input the size of the building in square feet. This is used to calculate estimates, below.</t>
  </si>
  <si>
    <t>How will you compensate each of your House Mentors? Select from the list.</t>
  </si>
  <si>
    <t>Input the number of House Mentors you anticipate for supporting your home.</t>
  </si>
  <si>
    <r>
      <t xml:space="preserve">Input the </t>
    </r>
    <r>
      <rPr>
        <b/>
        <sz val="10"/>
        <color rgb="FF3F3F76"/>
        <rFont val="Garamond"/>
        <family val="1"/>
      </rPr>
      <t>number of beds</t>
    </r>
    <r>
      <rPr>
        <sz val="10"/>
        <color rgb="FF3F3F76"/>
        <rFont val="Garamond"/>
        <family val="1"/>
      </rPr>
      <t xml:space="preserve"> proposed on each floor of the home. Input as whole numbers in the orange input cells to the left. Specify how many beds are proposed private rooms (Private Beds) and the number of beds located in shared rooms (Shared Beds) located on each floor. Be sure to input the number of beds, </t>
    </r>
    <r>
      <rPr>
        <u/>
        <sz val="10"/>
        <color rgb="FF3F3F76"/>
        <rFont val="Garamond"/>
        <family val="1"/>
      </rPr>
      <t>not the number of bedrooms</t>
    </r>
    <r>
      <rPr>
        <sz val="10"/>
        <color rgb="FF3F3F76"/>
        <rFont val="Garamond"/>
        <family val="1"/>
      </rPr>
      <t>!</t>
    </r>
  </si>
  <si>
    <r>
      <t xml:space="preserve">Input </t>
    </r>
    <r>
      <rPr>
        <b/>
        <sz val="8"/>
        <color rgb="FF002060"/>
        <rFont val="Garamond"/>
        <family val="1"/>
      </rPr>
      <t>⤵️</t>
    </r>
  </si>
  <si>
    <t>Input the monthly rate ➡️</t>
  </si>
  <si>
    <t>Input the monthly cost ➡️</t>
  </si>
  <si>
    <r>
      <t xml:space="preserve">Input the estimated monthly cost for repairs and maintenance of your home. This can typically be estimated using a per-square-foot figure, or obtained from your landlord. Our estiamates range from 40 to 60 cents per square foot per year.
</t>
    </r>
    <r>
      <rPr>
        <b/>
        <sz val="9"/>
        <color rgb="FF002060"/>
        <rFont val="Garamond"/>
        <family val="1"/>
      </rPr>
      <t>Note:</t>
    </r>
    <r>
      <rPr>
        <sz val="9"/>
        <color rgb="FF002060"/>
        <rFont val="Garamond"/>
        <family val="1"/>
      </rPr>
      <t xml:space="preserve"> the "Low Estimate" and "High Estimate" figures are automatically calculated based on the "Building size" you inputted earlier.</t>
    </r>
  </si>
  <si>
    <r>
      <t xml:space="preserve">Input the estimated house supplies needed for cleaning, bedding, and other home consumables. Some Operators chose to provide all of the supplies needed for a home, while others ask guests to contribute to a fund on a weekly or monthly basis to reduce costs.
</t>
    </r>
    <r>
      <rPr>
        <b/>
        <sz val="9"/>
        <color rgb="FF002060"/>
        <rFont val="Garamond"/>
        <family val="1"/>
      </rPr>
      <t xml:space="preserve">Note: </t>
    </r>
    <r>
      <rPr>
        <sz val="9"/>
        <color rgb="FF002060"/>
        <rFont val="Garamond"/>
        <family val="1"/>
      </rPr>
      <t>the "Low Estimate" and "High Estimate" figures are automatically calculated.</t>
    </r>
  </si>
  <si>
    <r>
      <t xml:space="preserve">VSL offers a standard </t>
    </r>
    <r>
      <rPr>
        <b/>
        <sz val="9"/>
        <color rgb="FF002060"/>
        <rFont val="Garamond"/>
        <family val="1"/>
      </rPr>
      <t>Core Services</t>
    </r>
    <r>
      <rPr>
        <sz val="9"/>
        <color rgb="FF002060"/>
        <rFont val="Garamond"/>
        <family val="1"/>
      </rPr>
      <t xml:space="preserve"> package which is the lowest cost level of service offered. This level of service includes all features listed on our website, including access to software, CRM, website presence, etc.</t>
    </r>
  </si>
  <si>
    <t>Per home, per month</t>
  </si>
  <si>
    <t>No</t>
  </si>
  <si>
    <t>Input an annual budget ➡️</t>
  </si>
  <si>
    <r>
      <t xml:space="preserve">Option </t>
    </r>
    <r>
      <rPr>
        <b/>
        <sz val="8"/>
        <color rgb="FF002060"/>
        <rFont val="Garamond"/>
        <family val="1"/>
      </rPr>
      <t>⤵️</t>
    </r>
  </si>
  <si>
    <t>Is this your first home? If so, we strongly suggest that you retain New Operator Training services. These services are offered by VSL and cover the entire process of starting your first sober living home. This package costs $6,000.</t>
  </si>
  <si>
    <t>Pre-opening advertising may be beneficial for new homes; we recommended a range from $1,200 to $4,800, with an average of $2,400.</t>
  </si>
  <si>
    <r>
      <t xml:space="preserve">Input your certification cost estimate. Homes leased from VSL affiliates include </t>
    </r>
    <r>
      <rPr>
        <u/>
        <sz val="9"/>
        <color rgb="FF002060"/>
        <rFont val="Garamond"/>
        <family val="1"/>
      </rPr>
      <t>all certification costs</t>
    </r>
    <r>
      <rPr>
        <sz val="9"/>
        <color rgb="FF002060"/>
        <rFont val="Garamond"/>
        <family val="1"/>
      </rPr>
      <t xml:space="preserve"> for the first year.</t>
    </r>
  </si>
  <si>
    <t>Do you have any grants or financing in place to help you get started? If so, please enter these figures here. These figures represent funds you anticipate receiving.</t>
  </si>
  <si>
    <t>Concierge Services (if desired)</t>
  </si>
  <si>
    <t>Intake Services (if desired)</t>
  </si>
  <si>
    <t>Operating Data</t>
  </si>
  <si>
    <t>Weekly</t>
  </si>
  <si>
    <t>Private beds</t>
  </si>
  <si>
    <t>Private Bed Rate</t>
  </si>
  <si>
    <t>Shared beds</t>
  </si>
  <si>
    <t>Shared Bed Rate</t>
  </si>
  <si>
    <t xml:space="preserve">  Note: Monthly rate assumes 4.333 weeks per month</t>
  </si>
  <si>
    <t>This is the vacancy figure used to estimate vacancy loss</t>
  </si>
  <si>
    <t>Average occupied beds, including House Mentor(s)</t>
  </si>
  <si>
    <t>VSL New Operator Training</t>
  </si>
  <si>
    <t>None, if included in lease</t>
  </si>
  <si>
    <t>Financials: once the home is stable</t>
  </si>
  <si>
    <t>VSL Fees</t>
  </si>
  <si>
    <t>Input the estimated monthly cost for trash disposal. Discuss with your landlord and/or Vanderburgh Sober Living to help get a good estimate for this. Many homes have all trash disposal included.</t>
  </si>
  <si>
    <t>Input your estimated liability insurance cost per square foot, typically at a rate of $0.98 per square foot per year. VSL can provide you an up-to-date estimate of this cost.</t>
  </si>
  <si>
    <r>
      <t xml:space="preserve">VSL offers a standard </t>
    </r>
    <r>
      <rPr>
        <b/>
        <sz val="9"/>
        <color rgb="FF002060"/>
        <rFont val="Garamond"/>
        <family val="1"/>
      </rPr>
      <t>Core Services</t>
    </r>
    <r>
      <rPr>
        <sz val="9"/>
        <color rgb="FF002060"/>
        <rFont val="Garamond"/>
        <family val="1"/>
      </rPr>
      <t xml:space="preserve"> package which includes several important features, including training, software, support services, stregic growth services, etc. If you wish to opt out of these services, select "No" on the left.</t>
    </r>
  </si>
  <si>
    <r>
      <t xml:space="preserve">VSL offers optional </t>
    </r>
    <r>
      <rPr>
        <b/>
        <sz val="9"/>
        <color rgb="FF002060"/>
        <rFont val="Garamond"/>
        <family val="1"/>
      </rPr>
      <t>Intake Services</t>
    </r>
    <r>
      <rPr>
        <sz val="9"/>
        <color rgb="FF002060"/>
        <rFont val="Garamond"/>
        <family val="1"/>
      </rPr>
      <t>, including complete coverage for telephone calls and a collaborative applicant screening process suiting an Operators unique needs. If you wish to opt out of these services, select "No" on the left.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</si>
</sst>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0_);_(* \(#,##0.0\);_(* &quot;-&quot;??_);_(@_)"/>
    <numFmt numFmtId="167" formatCode="_(* #,##0_);_(* \(#,##0\);_(* &quot;-&quot;??_);_(@_)"/>
    <numFmt numFmtId="168" formatCode="#,##0.0_);[Red]\(#,##0.0\)"/>
    <numFmt numFmtId="169" formatCode="0.0"/>
  </numFmts>
  <fonts count="50" x14ac:knownFonts="1">
    <font>
      <sz val="11"/>
      <color theme="1"/>
      <name val="Calibri"/>
      <family val="2"/>
      <scheme val="minor"/>
    </font>
    <font>
      <sz val="11"/>
      <color theme="1"/>
      <name val="Calibri"/>
      <family val="2"/>
      <scheme val="minor"/>
    </font>
    <font>
      <b/>
      <sz val="11"/>
      <color theme="1"/>
      <name val="Garamond"/>
      <family val="1"/>
    </font>
    <font>
      <sz val="11"/>
      <color theme="1"/>
      <name val="Garamond"/>
      <family val="1"/>
    </font>
    <font>
      <sz val="11"/>
      <color rgb="FF3F3F76"/>
      <name val="Calibri"/>
      <family val="2"/>
      <scheme val="minor"/>
    </font>
    <font>
      <b/>
      <sz val="11"/>
      <color rgb="FF002060"/>
      <name val="Garamond"/>
      <family val="1"/>
    </font>
    <font>
      <sz val="11"/>
      <color rgb="FF002060"/>
      <name val="Garamond"/>
      <family val="1"/>
    </font>
    <font>
      <i/>
      <sz val="11"/>
      <color rgb="FF002060"/>
      <name val="Garamond"/>
      <family val="1"/>
    </font>
    <font>
      <u val="singleAccounting"/>
      <sz val="11"/>
      <color rgb="FF002060"/>
      <name val="Garamond"/>
      <family val="1"/>
    </font>
    <font>
      <b/>
      <u val="singleAccounting"/>
      <sz val="11"/>
      <color rgb="FF002060"/>
      <name val="Garamond"/>
      <family val="1"/>
    </font>
    <font>
      <b/>
      <sz val="11"/>
      <color rgb="FF3F3F76"/>
      <name val="Garamond"/>
      <family val="1"/>
    </font>
    <font>
      <b/>
      <i/>
      <sz val="10"/>
      <color rgb="FF002060"/>
      <name val="Garamond"/>
      <family val="1"/>
    </font>
    <font>
      <b/>
      <sz val="13"/>
      <color theme="3"/>
      <name val="Calibri"/>
      <family val="2"/>
      <scheme val="minor"/>
    </font>
    <font>
      <sz val="8"/>
      <name val="Arial"/>
      <family val="2"/>
    </font>
    <font>
      <b/>
      <sz val="15"/>
      <color rgb="FF002060"/>
      <name val="Garamond"/>
      <family val="1"/>
    </font>
    <font>
      <b/>
      <sz val="8"/>
      <color indexed="9"/>
      <name val="Tahoma"/>
      <family val="2"/>
    </font>
    <font>
      <b/>
      <sz val="8"/>
      <color indexed="8"/>
      <name val="Tahoma"/>
      <family val="2"/>
    </font>
    <font>
      <sz val="8"/>
      <name val="Tahoma"/>
      <family val="2"/>
    </font>
    <font>
      <b/>
      <sz val="16"/>
      <color rgb="FF002060"/>
      <name val="Garamond"/>
      <family val="1"/>
    </font>
    <font>
      <sz val="11"/>
      <color rgb="FFC00000"/>
      <name val="Garamond"/>
      <family val="1"/>
    </font>
    <font>
      <sz val="8"/>
      <name val="Arial"/>
      <family val="2"/>
    </font>
    <font>
      <b/>
      <u/>
      <sz val="11"/>
      <color rgb="FF002060"/>
      <name val="Garamond"/>
      <family val="1"/>
    </font>
    <font>
      <b/>
      <sz val="10"/>
      <color rgb="FF002060"/>
      <name val="Garamond"/>
      <family val="1"/>
    </font>
    <font>
      <sz val="11"/>
      <color rgb="FF3F3F76"/>
      <name val="Garamond"/>
      <family val="1"/>
    </font>
    <font>
      <b/>
      <sz val="12"/>
      <color rgb="FF002060"/>
      <name val="Garamond"/>
      <family val="1"/>
    </font>
    <font>
      <sz val="10"/>
      <color rgb="FF002060"/>
      <name val="Garamond"/>
      <family val="1"/>
    </font>
    <font>
      <sz val="8"/>
      <name val="Calibri"/>
      <family val="2"/>
      <scheme val="minor"/>
    </font>
    <font>
      <b/>
      <sz val="11"/>
      <color theme="5"/>
      <name val="Garamond"/>
      <family val="1"/>
    </font>
    <font>
      <i/>
      <u/>
      <sz val="10"/>
      <color rgb="FF002060"/>
      <name val="Garamond"/>
      <family val="1"/>
    </font>
    <font>
      <b/>
      <i/>
      <sz val="11"/>
      <color rgb="FF002060"/>
      <name val="Garamond"/>
      <family val="1"/>
    </font>
    <font>
      <b/>
      <u/>
      <sz val="10"/>
      <color rgb="FF002060"/>
      <name val="Garamond"/>
      <family val="1"/>
    </font>
    <font>
      <sz val="8"/>
      <color rgb="FF002060"/>
      <name val="Garamond"/>
      <family val="1"/>
    </font>
    <font>
      <i/>
      <u val="singleAccounting"/>
      <sz val="11"/>
      <color rgb="FF002060"/>
      <name val="Garamond"/>
      <family val="1"/>
    </font>
    <font>
      <i/>
      <sz val="10"/>
      <color rgb="FF002060"/>
      <name val="Garamond"/>
      <family val="1"/>
    </font>
    <font>
      <b/>
      <sz val="14"/>
      <color rgb="FF002060"/>
      <name val="Garamond"/>
      <family val="1"/>
    </font>
    <font>
      <b/>
      <sz val="10"/>
      <color rgb="FF3F3F76"/>
      <name val="Garamond"/>
      <family val="1"/>
    </font>
    <font>
      <sz val="9"/>
      <color rgb="FF002060"/>
      <name val="Garamond"/>
      <family val="1"/>
    </font>
    <font>
      <sz val="10"/>
      <color theme="1"/>
      <name val="Garamond"/>
      <family val="1"/>
    </font>
    <font>
      <b/>
      <sz val="8"/>
      <color rgb="FF002060"/>
      <name val="Garamond"/>
      <family val="1"/>
    </font>
    <font>
      <sz val="10"/>
      <color theme="5"/>
      <name val="Garamond"/>
      <family val="1"/>
    </font>
    <font>
      <b/>
      <sz val="10"/>
      <color theme="5"/>
      <name val="Garamond"/>
      <family val="1"/>
    </font>
    <font>
      <sz val="12"/>
      <color rgb="FF002060"/>
      <name val="Garamond"/>
      <family val="1"/>
    </font>
    <font>
      <sz val="12"/>
      <color theme="1"/>
      <name val="Garamond"/>
      <family val="1"/>
    </font>
    <font>
      <u/>
      <sz val="11"/>
      <color theme="10"/>
      <name val="Calibri"/>
      <family val="2"/>
      <scheme val="minor"/>
    </font>
    <font>
      <b/>
      <u/>
      <sz val="12"/>
      <color theme="10"/>
      <name val="Garamond"/>
      <family val="1"/>
    </font>
    <font>
      <sz val="10"/>
      <color rgb="FF3F3F76"/>
      <name val="Garamond"/>
      <family val="1"/>
    </font>
    <font>
      <b/>
      <sz val="9"/>
      <color rgb="FF002060"/>
      <name val="Garamond"/>
      <family val="1"/>
    </font>
    <font>
      <u/>
      <sz val="10"/>
      <color rgb="FF3F3F76"/>
      <name val="Garamond"/>
      <family val="1"/>
    </font>
    <font>
      <u/>
      <sz val="9"/>
      <color rgb="FF002060"/>
      <name val="Garamond"/>
      <family val="1"/>
    </font>
    <font>
      <u/>
      <sz val="11"/>
      <color rgb="FF002060"/>
      <name val="Garamond"/>
      <family val="1"/>
    </font>
  </fonts>
  <fills count="14">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9"/>
        <bgColor indexed="9"/>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9"/>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43">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rgb="FF7F7F7F"/>
      </right>
      <top style="thin">
        <color rgb="FF7F7F7F"/>
      </top>
      <bottom style="thin">
        <color rgb="FF7F7F7F"/>
      </bottom>
      <diagonal/>
    </border>
    <border>
      <left style="thin">
        <color indexed="55"/>
      </left>
      <right style="thin">
        <color indexed="64"/>
      </right>
      <top/>
      <bottom/>
      <diagonal/>
    </border>
    <border>
      <left/>
      <right style="thin">
        <color indexed="64"/>
      </right>
      <top/>
      <bottom style="thin">
        <color indexed="55"/>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55"/>
      </right>
      <top style="thin">
        <color indexed="64"/>
      </top>
      <bottom style="medium">
        <color indexed="64"/>
      </bottom>
      <diagonal/>
    </border>
    <border>
      <left style="thin">
        <color indexed="64"/>
      </left>
      <right style="thin">
        <color indexed="55"/>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2" borderId="2" applyNumberFormat="0" applyAlignment="0" applyProtection="0"/>
    <xf numFmtId="0" fontId="14" fillId="0" borderId="6" applyNumberFormat="0" applyFill="0" applyAlignment="0" applyProtection="0"/>
    <xf numFmtId="0" fontId="12" fillId="0" borderId="7" applyNumberFormat="0" applyFill="0" applyAlignment="0" applyProtection="0"/>
    <xf numFmtId="0" fontId="13" fillId="0" borderId="0"/>
    <xf numFmtId="37" fontId="15" fillId="6" borderId="3" applyBorder="0">
      <alignment horizontal="left" vertical="center" indent="1"/>
    </xf>
    <xf numFmtId="0" fontId="16" fillId="7" borderId="9" applyNumberFormat="0">
      <alignment horizontal="left" vertical="top" indent="1"/>
    </xf>
    <xf numFmtId="0" fontId="16" fillId="0" borderId="9" applyNumberFormat="0" applyFill="0">
      <alignment horizontal="centerContinuous" vertical="top"/>
    </xf>
    <xf numFmtId="37" fontId="17" fillId="5" borderId="4" applyBorder="0" applyProtection="0">
      <alignment vertical="center"/>
    </xf>
    <xf numFmtId="37" fontId="16" fillId="0" borderId="10">
      <alignment vertical="center"/>
    </xf>
    <xf numFmtId="43" fontId="1" fillId="0" borderId="0" applyFont="0" applyFill="0" applyBorder="0" applyAlignment="0" applyProtection="0"/>
    <xf numFmtId="4" fontId="17" fillId="5" borderId="5" applyBorder="0">
      <alignment horizontal="left" vertical="center" indent="2"/>
    </xf>
    <xf numFmtId="0" fontId="20" fillId="0" borderId="0"/>
    <xf numFmtId="0" fontId="43" fillId="0" borderId="0" applyNumberFormat="0" applyFill="0" applyBorder="0" applyAlignment="0" applyProtection="0"/>
  </cellStyleXfs>
  <cellXfs count="380">
    <xf numFmtId="0" fontId="0" fillId="0" borderId="0" xfId="0"/>
    <xf numFmtId="0" fontId="3" fillId="0" borderId="0" xfId="0" applyFont="1"/>
    <xf numFmtId="0" fontId="5" fillId="3" borderId="0" xfId="0" applyFont="1" applyFill="1"/>
    <xf numFmtId="0" fontId="6" fillId="3" borderId="0" xfId="0" applyFont="1" applyFill="1"/>
    <xf numFmtId="0" fontId="5" fillId="3" borderId="0" xfId="0" applyFont="1" applyFill="1" applyAlignment="1">
      <alignment horizontal="left"/>
    </xf>
    <xf numFmtId="164" fontId="9" fillId="4" borderId="0" xfId="0" applyNumberFormat="1" applyFont="1" applyFill="1"/>
    <xf numFmtId="0" fontId="11" fillId="3" borderId="0" xfId="0" applyFont="1" applyFill="1" applyAlignment="1">
      <alignment horizontal="center"/>
    </xf>
    <xf numFmtId="0" fontId="6" fillId="8" borderId="0" xfId="0" applyFont="1" applyFill="1" applyAlignment="1">
      <alignment horizontal="left" indent="2"/>
    </xf>
    <xf numFmtId="0" fontId="6" fillId="8" borderId="0" xfId="0" applyFont="1" applyFill="1"/>
    <xf numFmtId="164" fontId="6" fillId="8" borderId="0" xfId="0" applyNumberFormat="1" applyFont="1" applyFill="1"/>
    <xf numFmtId="0" fontId="6" fillId="8" borderId="0" xfId="0" applyFont="1" applyFill="1" applyAlignment="1">
      <alignment horizontal="left" indent="1"/>
    </xf>
    <xf numFmtId="9" fontId="7" fillId="8" borderId="0" xfId="2" applyFont="1" applyFill="1" applyAlignment="1">
      <alignment horizontal="right"/>
    </xf>
    <xf numFmtId="0" fontId="3" fillId="8" borderId="0" xfId="0" applyFont="1" applyFill="1"/>
    <xf numFmtId="0" fontId="8" fillId="8" borderId="0" xfId="0" applyFont="1" applyFill="1"/>
    <xf numFmtId="164" fontId="8" fillId="8" borderId="0" xfId="0" applyNumberFormat="1" applyFont="1" applyFill="1"/>
    <xf numFmtId="0" fontId="5" fillId="8" borderId="0" xfId="0" applyFont="1" applyFill="1" applyAlignment="1">
      <alignment horizontal="left" indent="2"/>
    </xf>
    <xf numFmtId="0" fontId="5" fillId="8" borderId="0" xfId="0" applyFont="1" applyFill="1" applyAlignment="1">
      <alignment horizontal="left" indent="1"/>
    </xf>
    <xf numFmtId="164" fontId="5" fillId="8" borderId="0" xfId="0" applyNumberFormat="1" applyFont="1" applyFill="1"/>
    <xf numFmtId="0" fontId="6" fillId="8" borderId="0" xfId="0" applyFont="1" applyFill="1" applyAlignment="1">
      <alignment horizontal="left"/>
    </xf>
    <xf numFmtId="164" fontId="6" fillId="8" borderId="0" xfId="1" applyNumberFormat="1" applyFont="1" applyFill="1"/>
    <xf numFmtId="0" fontId="7" fillId="8" borderId="0" xfId="0" applyFont="1" applyFill="1"/>
    <xf numFmtId="0" fontId="6" fillId="4" borderId="5" xfId="0" applyFont="1" applyFill="1" applyBorder="1"/>
    <xf numFmtId="164" fontId="5" fillId="4" borderId="5" xfId="0" applyNumberFormat="1" applyFont="1" applyFill="1" applyBorder="1"/>
    <xf numFmtId="0" fontId="5" fillId="4" borderId="5" xfId="0" applyFont="1" applyFill="1" applyBorder="1"/>
    <xf numFmtId="165" fontId="6" fillId="8" borderId="0" xfId="2" applyNumberFormat="1" applyFont="1" applyFill="1" applyBorder="1"/>
    <xf numFmtId="9" fontId="3" fillId="8" borderId="0" xfId="2" applyFont="1" applyFill="1" applyBorder="1"/>
    <xf numFmtId="9" fontId="6" fillId="3" borderId="0" xfId="2" applyFont="1" applyFill="1" applyBorder="1"/>
    <xf numFmtId="165" fontId="5" fillId="4" borderId="0" xfId="2" applyNumberFormat="1" applyFont="1" applyFill="1" applyBorder="1"/>
    <xf numFmtId="164" fontId="19" fillId="8" borderId="0" xfId="1" applyNumberFormat="1" applyFont="1" applyFill="1" applyBorder="1" applyAlignment="1">
      <alignment vertical="top"/>
    </xf>
    <xf numFmtId="0" fontId="6" fillId="8" borderId="0" xfId="0" applyFont="1" applyFill="1" applyAlignment="1">
      <alignment horizontal="left" vertical="center" indent="1"/>
    </xf>
    <xf numFmtId="0" fontId="6" fillId="8" borderId="0" xfId="0" applyFont="1" applyFill="1" applyAlignment="1">
      <alignment vertical="center"/>
    </xf>
    <xf numFmtId="0" fontId="3" fillId="8" borderId="1" xfId="0" applyFont="1" applyFill="1" applyBorder="1"/>
    <xf numFmtId="0" fontId="6" fillId="0" borderId="0" xfId="0" applyFont="1"/>
    <xf numFmtId="0" fontId="22" fillId="3" borderId="0" xfId="0" applyFont="1" applyFill="1" applyAlignment="1">
      <alignment horizontal="center" vertical="top"/>
    </xf>
    <xf numFmtId="0" fontId="18" fillId="8" borderId="0" xfId="0" applyFont="1" applyFill="1" applyAlignment="1">
      <alignment horizontal="left" vertical="center" wrapText="1" indent="1"/>
    </xf>
    <xf numFmtId="0" fontId="18" fillId="8" borderId="0" xfId="0" applyFont="1" applyFill="1" applyAlignment="1">
      <alignment horizontal="left" vertical="center" indent="1"/>
    </xf>
    <xf numFmtId="0" fontId="6" fillId="0" borderId="9" xfId="0" applyFont="1" applyBorder="1"/>
    <xf numFmtId="0" fontId="6" fillId="11" borderId="0" xfId="0" applyFont="1" applyFill="1"/>
    <xf numFmtId="0" fontId="3" fillId="8" borderId="0" xfId="0" applyFont="1" applyFill="1" applyAlignment="1">
      <alignment horizontal="left" vertical="center" indent="1"/>
    </xf>
    <xf numFmtId="9" fontId="3" fillId="8" borderId="0" xfId="2" applyFont="1" applyFill="1"/>
    <xf numFmtId="0" fontId="3" fillId="8" borderId="9" xfId="0" applyFont="1" applyFill="1" applyBorder="1"/>
    <xf numFmtId="0" fontId="3" fillId="8" borderId="9" xfId="0" applyFont="1" applyFill="1" applyBorder="1" applyAlignment="1">
      <alignment horizontal="left" vertical="center" indent="1"/>
    </xf>
    <xf numFmtId="0" fontId="3" fillId="8" borderId="1" xfId="0" applyFont="1" applyFill="1" applyBorder="1" applyAlignment="1">
      <alignment horizontal="left" vertical="center" indent="1"/>
    </xf>
    <xf numFmtId="0" fontId="5" fillId="8" borderId="0" xfId="0" applyFont="1" applyFill="1"/>
    <xf numFmtId="0" fontId="2" fillId="8" borderId="0" xfId="0" applyFont="1" applyFill="1"/>
    <xf numFmtId="9" fontId="29" fillId="8" borderId="0" xfId="2" applyFont="1" applyFill="1" applyAlignment="1">
      <alignment horizontal="right"/>
    </xf>
    <xf numFmtId="0" fontId="6" fillId="9" borderId="1" xfId="0" applyFont="1" applyFill="1" applyBorder="1"/>
    <xf numFmtId="0" fontId="11" fillId="9" borderId="1" xfId="0" applyFont="1" applyFill="1" applyBorder="1" applyAlignment="1">
      <alignment horizontal="center"/>
    </xf>
    <xf numFmtId="0" fontId="3" fillId="9" borderId="1" xfId="0" applyFont="1" applyFill="1" applyBorder="1"/>
    <xf numFmtId="9" fontId="7" fillId="8" borderId="0" xfId="2" applyFont="1" applyFill="1" applyBorder="1" applyAlignment="1">
      <alignment horizontal="right"/>
    </xf>
    <xf numFmtId="169" fontId="5" fillId="8" borderId="1" xfId="0" applyNumberFormat="1" applyFont="1" applyFill="1" applyBorder="1"/>
    <xf numFmtId="164" fontId="6" fillId="8" borderId="1" xfId="0" applyNumberFormat="1" applyFont="1" applyFill="1" applyBorder="1"/>
    <xf numFmtId="0" fontId="6" fillId="8" borderId="1" xfId="0" applyFont="1" applyFill="1" applyBorder="1" applyAlignment="1">
      <alignment horizontal="left" indent="1"/>
    </xf>
    <xf numFmtId="0" fontId="6" fillId="8" borderId="9" xfId="0" applyFont="1" applyFill="1" applyBorder="1" applyAlignment="1">
      <alignment horizontal="left" indent="1"/>
    </xf>
    <xf numFmtId="0" fontId="6" fillId="8" borderId="9" xfId="0" applyFont="1" applyFill="1" applyBorder="1"/>
    <xf numFmtId="0" fontId="6" fillId="0" borderId="0" xfId="0" applyFont="1" applyAlignment="1">
      <alignment horizontal="left" vertical="center" indent="1"/>
    </xf>
    <xf numFmtId="0" fontId="6" fillId="11" borderId="0" xfId="0" applyFont="1" applyFill="1" applyAlignment="1">
      <alignment vertical="center"/>
    </xf>
    <xf numFmtId="38" fontId="24" fillId="11" borderId="0" xfId="13" applyNumberFormat="1" applyFont="1" applyFill="1" applyBorder="1" applyAlignment="1">
      <alignment horizontal="left" vertical="center"/>
    </xf>
    <xf numFmtId="38" fontId="28" fillId="11" borderId="0" xfId="9" applyNumberFormat="1" applyFont="1" applyFill="1" applyBorder="1" applyAlignment="1">
      <alignment horizontal="center" vertical="center"/>
    </xf>
    <xf numFmtId="38" fontId="22" fillId="11" borderId="3" xfId="9" applyNumberFormat="1" applyFont="1" applyFill="1" applyBorder="1" applyAlignment="1">
      <alignment horizontal="center" vertical="center"/>
    </xf>
    <xf numFmtId="38" fontId="22" fillId="11" borderId="0" xfId="9" applyNumberFormat="1" applyFont="1" applyFill="1" applyBorder="1" applyAlignment="1">
      <alignment horizontal="center" vertical="center"/>
    </xf>
    <xf numFmtId="38" fontId="22" fillId="11" borderId="13" xfId="9" applyNumberFormat="1" applyFont="1" applyFill="1" applyBorder="1" applyAlignment="1">
      <alignment horizontal="center" vertical="center"/>
    </xf>
    <xf numFmtId="38" fontId="31" fillId="8" borderId="0" xfId="0" applyNumberFormat="1" applyFont="1" applyFill="1" applyAlignment="1">
      <alignment vertical="center"/>
    </xf>
    <xf numFmtId="168" fontId="6" fillId="5" borderId="0" xfId="13" applyNumberFormat="1" applyFont="1" applyBorder="1" applyAlignment="1">
      <alignment horizontal="left" vertical="center" indent="3"/>
    </xf>
    <xf numFmtId="166" fontId="5" fillId="2" borderId="12" xfId="3" applyNumberFormat="1" applyFont="1" applyBorder="1" applyAlignment="1">
      <alignment vertical="center"/>
    </xf>
    <xf numFmtId="164" fontId="5" fillId="9" borderId="14" xfId="1" applyNumberFormat="1" applyFont="1" applyFill="1" applyBorder="1" applyAlignment="1">
      <alignment vertical="center"/>
    </xf>
    <xf numFmtId="38" fontId="31" fillId="8" borderId="0" xfId="0" applyNumberFormat="1" applyFont="1" applyFill="1"/>
    <xf numFmtId="38" fontId="6" fillId="5" borderId="0" xfId="13" applyNumberFormat="1" applyFont="1" applyBorder="1" applyAlignment="1">
      <alignment horizontal="left" vertical="center" indent="3"/>
    </xf>
    <xf numFmtId="167" fontId="6" fillId="5" borderId="3" xfId="12" applyNumberFormat="1" applyFont="1" applyFill="1" applyBorder="1" applyAlignment="1">
      <alignment vertical="center"/>
    </xf>
    <xf numFmtId="167" fontId="6" fillId="5" borderId="0" xfId="12" applyNumberFormat="1" applyFont="1" applyFill="1" applyBorder="1" applyAlignment="1">
      <alignment vertical="center"/>
    </xf>
    <xf numFmtId="38" fontId="6" fillId="5" borderId="9" xfId="13" applyNumberFormat="1" applyFont="1" applyBorder="1" applyAlignment="1">
      <alignment horizontal="left" vertical="center" indent="3"/>
    </xf>
    <xf numFmtId="9" fontId="6" fillId="5" borderId="15" xfId="2" applyFont="1" applyFill="1" applyBorder="1" applyAlignment="1">
      <alignment vertical="center"/>
    </xf>
    <xf numFmtId="9" fontId="6" fillId="5" borderId="9" xfId="2" applyFont="1" applyFill="1" applyBorder="1" applyAlignment="1">
      <alignment vertical="center"/>
    </xf>
    <xf numFmtId="164" fontId="5" fillId="9" borderId="16" xfId="1" applyNumberFormat="1" applyFont="1" applyFill="1" applyBorder="1" applyAlignment="1">
      <alignment vertical="center"/>
    </xf>
    <xf numFmtId="38" fontId="31" fillId="8" borderId="9" xfId="0" applyNumberFormat="1" applyFont="1" applyFill="1" applyBorder="1"/>
    <xf numFmtId="38" fontId="24" fillId="11" borderId="0" xfId="13" applyNumberFormat="1" applyFont="1" applyFill="1" applyBorder="1" applyAlignment="1">
      <alignment horizontal="left" vertical="top"/>
    </xf>
    <xf numFmtId="38" fontId="22" fillId="11" borderId="3" xfId="9" applyNumberFormat="1" applyFont="1" applyFill="1" applyBorder="1" applyAlignment="1">
      <alignment horizontal="centerContinuous" vertical="center"/>
    </xf>
    <xf numFmtId="38" fontId="22" fillId="11" borderId="0" xfId="9" applyNumberFormat="1" applyFont="1" applyFill="1" applyBorder="1" applyAlignment="1">
      <alignment horizontal="centerContinuous" vertical="center"/>
    </xf>
    <xf numFmtId="38" fontId="6" fillId="5" borderId="0" xfId="13" applyNumberFormat="1" applyFont="1" applyBorder="1">
      <alignment horizontal="left" vertical="center" indent="2"/>
    </xf>
    <xf numFmtId="164" fontId="6" fillId="5" borderId="3" xfId="1" applyNumberFormat="1" applyFont="1" applyFill="1" applyBorder="1" applyAlignment="1">
      <alignment vertical="center"/>
    </xf>
    <xf numFmtId="164" fontId="6" fillId="5" borderId="0" xfId="1" applyNumberFormat="1" applyFont="1" applyFill="1" applyBorder="1" applyAlignment="1">
      <alignment vertical="center"/>
    </xf>
    <xf numFmtId="164" fontId="8" fillId="5" borderId="3" xfId="1" applyNumberFormat="1" applyFont="1" applyFill="1" applyBorder="1" applyAlignment="1">
      <alignment vertical="center"/>
    </xf>
    <xf numFmtId="164" fontId="8" fillId="5" borderId="0" xfId="1" applyNumberFormat="1" applyFont="1" applyFill="1" applyBorder="1" applyAlignment="1">
      <alignment vertical="center"/>
    </xf>
    <xf numFmtId="164" fontId="9" fillId="9" borderId="14" xfId="1" applyNumberFormat="1" applyFont="1" applyFill="1" applyBorder="1" applyAlignment="1">
      <alignment vertical="center"/>
    </xf>
    <xf numFmtId="38" fontId="6" fillId="5" borderId="9" xfId="13" applyNumberFormat="1" applyFont="1" applyBorder="1">
      <alignment horizontal="left" vertical="center" indent="2"/>
    </xf>
    <xf numFmtId="164" fontId="5" fillId="5" borderId="15" xfId="1" applyNumberFormat="1" applyFont="1" applyFill="1" applyBorder="1" applyAlignment="1">
      <alignment vertical="center"/>
    </xf>
    <xf numFmtId="164" fontId="5" fillId="5" borderId="9" xfId="1" applyNumberFormat="1" applyFont="1" applyFill="1" applyBorder="1" applyAlignment="1">
      <alignment vertical="center"/>
    </xf>
    <xf numFmtId="164" fontId="6" fillId="8" borderId="3" xfId="1" applyNumberFormat="1" applyFont="1" applyFill="1" applyBorder="1"/>
    <xf numFmtId="164" fontId="8" fillId="8" borderId="3" xfId="1" applyNumberFormat="1" applyFont="1" applyFill="1" applyBorder="1"/>
    <xf numFmtId="164" fontId="5" fillId="5" borderId="0" xfId="1" applyNumberFormat="1" applyFont="1" applyFill="1" applyBorder="1" applyAlignment="1">
      <alignment vertical="center"/>
    </xf>
    <xf numFmtId="164" fontId="9" fillId="5" borderId="3" xfId="1" applyNumberFormat="1" applyFont="1" applyFill="1" applyBorder="1" applyAlignment="1">
      <alignment vertical="center"/>
    </xf>
    <xf numFmtId="164" fontId="9" fillId="5" borderId="0" xfId="1" applyNumberFormat="1" applyFont="1" applyFill="1" applyBorder="1" applyAlignment="1">
      <alignment vertical="center"/>
    </xf>
    <xf numFmtId="0" fontId="6" fillId="9" borderId="9" xfId="0" applyFont="1" applyFill="1" applyBorder="1"/>
    <xf numFmtId="38" fontId="5" fillId="10" borderId="20" xfId="8" applyNumberFormat="1" applyFont="1" applyFill="1" applyBorder="1">
      <alignment horizontal="left" vertical="top" indent="1"/>
    </xf>
    <xf numFmtId="38" fontId="5" fillId="10" borderId="18" xfId="8" applyNumberFormat="1" applyFont="1" applyFill="1" applyBorder="1">
      <alignment horizontal="left" vertical="top" indent="1"/>
    </xf>
    <xf numFmtId="0" fontId="6" fillId="0" borderId="3" xfId="0" applyFont="1" applyBorder="1"/>
    <xf numFmtId="164" fontId="22" fillId="11" borderId="3" xfId="1" applyNumberFormat="1" applyFont="1" applyFill="1" applyBorder="1" applyAlignment="1">
      <alignment horizontal="centerContinuous" vertical="center"/>
    </xf>
    <xf numFmtId="164" fontId="22" fillId="11" borderId="0" xfId="1" applyNumberFormat="1" applyFont="1" applyFill="1" applyBorder="1" applyAlignment="1">
      <alignment horizontal="centerContinuous" vertical="center"/>
    </xf>
    <xf numFmtId="164" fontId="5" fillId="11" borderId="8" xfId="1" applyNumberFormat="1" applyFont="1" applyFill="1" applyBorder="1" applyAlignment="1">
      <alignment vertical="top"/>
    </xf>
    <xf numFmtId="164" fontId="21" fillId="9" borderId="14" xfId="1" applyNumberFormat="1" applyFont="1" applyFill="1" applyBorder="1" applyAlignment="1">
      <alignment vertical="center"/>
    </xf>
    <xf numFmtId="164" fontId="5" fillId="9" borderId="18" xfId="1" applyNumberFormat="1" applyFont="1" applyFill="1" applyBorder="1" applyAlignment="1">
      <alignment vertical="center"/>
    </xf>
    <xf numFmtId="164" fontId="5" fillId="9" borderId="19" xfId="1" applyNumberFormat="1" applyFont="1" applyFill="1" applyBorder="1" applyAlignment="1">
      <alignment vertical="center"/>
    </xf>
    <xf numFmtId="164" fontId="5" fillId="9" borderId="17" xfId="1" applyNumberFormat="1" applyFont="1" applyFill="1" applyBorder="1" applyAlignment="1">
      <alignment vertical="center"/>
    </xf>
    <xf numFmtId="0" fontId="11" fillId="8" borderId="0" xfId="0" applyFont="1" applyFill="1"/>
    <xf numFmtId="164" fontId="5" fillId="8" borderId="0" xfId="1" applyNumberFormat="1" applyFont="1" applyFill="1" applyBorder="1"/>
    <xf numFmtId="164" fontId="5" fillId="8" borderId="0" xfId="1" applyNumberFormat="1" applyFont="1" applyFill="1"/>
    <xf numFmtId="0" fontId="29" fillId="8" borderId="0" xfId="0" applyFont="1" applyFill="1"/>
    <xf numFmtId="38" fontId="5" fillId="0" borderId="0" xfId="8" applyNumberFormat="1" applyFont="1" applyFill="1" applyBorder="1" applyAlignment="1">
      <alignment horizontal="left" vertical="top"/>
    </xf>
    <xf numFmtId="38" fontId="5" fillId="0" borderId="9" xfId="8" applyNumberFormat="1" applyFont="1" applyFill="1" applyAlignment="1">
      <alignment horizontal="left" vertical="top"/>
    </xf>
    <xf numFmtId="0" fontId="6" fillId="8" borderId="22" xfId="0" applyFont="1" applyFill="1" applyBorder="1"/>
    <xf numFmtId="9" fontId="32" fillId="8" borderId="0" xfId="2" applyFont="1" applyFill="1" applyAlignment="1">
      <alignment horizontal="right"/>
    </xf>
    <xf numFmtId="164" fontId="6" fillId="8" borderId="0" xfId="1" applyNumberFormat="1" applyFont="1" applyFill="1" applyBorder="1" applyAlignment="1">
      <alignment horizontal="left" indent="2"/>
    </xf>
    <xf numFmtId="0" fontId="24" fillId="8" borderId="0" xfId="0" applyFont="1" applyFill="1" applyAlignment="1">
      <alignment horizontal="right" vertical="center" textRotation="90"/>
    </xf>
    <xf numFmtId="0" fontId="5" fillId="3" borderId="0" xfId="0" applyFont="1" applyFill="1" applyAlignment="1">
      <alignment horizontal="left" vertical="center"/>
    </xf>
    <xf numFmtId="165" fontId="7" fillId="8" borderId="0" xfId="2" applyNumberFormat="1" applyFont="1" applyFill="1" applyAlignment="1">
      <alignment horizontal="right"/>
    </xf>
    <xf numFmtId="164" fontId="9" fillId="8" borderId="0" xfId="1" applyNumberFormat="1" applyFont="1" applyFill="1" applyBorder="1"/>
    <xf numFmtId="9" fontId="33" fillId="8" borderId="0" xfId="2" applyFont="1" applyFill="1" applyAlignment="1">
      <alignment horizontal="right"/>
    </xf>
    <xf numFmtId="166" fontId="33" fillId="8" borderId="0" xfId="2" applyNumberFormat="1" applyFont="1" applyFill="1" applyAlignment="1">
      <alignment horizontal="right"/>
    </xf>
    <xf numFmtId="49" fontId="6" fillId="8" borderId="0" xfId="12" applyNumberFormat="1" applyFont="1" applyFill="1" applyAlignment="1">
      <alignment horizontal="left"/>
    </xf>
    <xf numFmtId="9" fontId="9" fillId="4" borderId="0" xfId="2" applyFont="1" applyFill="1"/>
    <xf numFmtId="0" fontId="22" fillId="3" borderId="0" xfId="0" applyFont="1" applyFill="1" applyAlignment="1">
      <alignment horizontal="left" vertical="top"/>
    </xf>
    <xf numFmtId="0" fontId="30" fillId="3" borderId="0" xfId="0" applyFont="1" applyFill="1" applyAlignment="1">
      <alignment horizontal="left" vertical="top"/>
    </xf>
    <xf numFmtId="0" fontId="3" fillId="8" borderId="0" xfId="0" applyFont="1" applyFill="1" applyAlignment="1">
      <alignment vertical="center"/>
    </xf>
    <xf numFmtId="0" fontId="5" fillId="8" borderId="0" xfId="0" applyFont="1" applyFill="1" applyAlignment="1">
      <alignment horizontal="left" vertical="center" indent="1"/>
    </xf>
    <xf numFmtId="0" fontId="5" fillId="8" borderId="9" xfId="0" applyFont="1" applyFill="1" applyBorder="1" applyAlignment="1">
      <alignment horizontal="left" vertical="center" indent="1"/>
    </xf>
    <xf numFmtId="0" fontId="24" fillId="9" borderId="1" xfId="0" applyFont="1" applyFill="1" applyBorder="1" applyAlignment="1">
      <alignment horizontal="left" vertical="center" indent="1"/>
    </xf>
    <xf numFmtId="0" fontId="5" fillId="9" borderId="1" xfId="0" applyFont="1" applyFill="1" applyBorder="1" applyAlignment="1">
      <alignment horizontal="center" vertical="center"/>
    </xf>
    <xf numFmtId="0" fontId="5" fillId="9" borderId="1" xfId="0" applyFont="1" applyFill="1" applyBorder="1" applyAlignment="1">
      <alignment horizontal="left" vertical="center" indent="1"/>
    </xf>
    <xf numFmtId="0" fontId="5" fillId="8" borderId="1" xfId="0" applyFont="1" applyFill="1" applyBorder="1" applyAlignment="1">
      <alignment horizontal="left" vertical="center" indent="1"/>
    </xf>
    <xf numFmtId="167" fontId="10" fillId="2" borderId="23" xfId="12" applyNumberFormat="1" applyFont="1" applyFill="1" applyBorder="1" applyAlignment="1">
      <alignment vertical="center"/>
    </xf>
    <xf numFmtId="164" fontId="10" fillId="2" borderId="23" xfId="3" applyNumberFormat="1" applyFont="1" applyBorder="1" applyAlignment="1">
      <alignment vertical="center"/>
    </xf>
    <xf numFmtId="2" fontId="10" fillId="2" borderId="23" xfId="3" applyNumberFormat="1" applyFont="1" applyBorder="1" applyAlignment="1">
      <alignment vertical="center"/>
    </xf>
    <xf numFmtId="44" fontId="10" fillId="2" borderId="23" xfId="3" applyNumberFormat="1" applyFont="1" applyBorder="1" applyAlignment="1">
      <alignment vertical="center"/>
    </xf>
    <xf numFmtId="9" fontId="10" fillId="2" borderId="23" xfId="3" applyNumberFormat="1" applyFont="1" applyBorder="1" applyAlignment="1">
      <alignment vertical="center"/>
    </xf>
    <xf numFmtId="9" fontId="10" fillId="2" borderId="23" xfId="3" applyNumberFormat="1" applyFont="1" applyBorder="1" applyAlignment="1">
      <alignment horizontal="center" vertical="center"/>
    </xf>
    <xf numFmtId="0" fontId="5" fillId="9" borderId="1" xfId="0" applyFont="1" applyFill="1" applyBorder="1" applyAlignment="1">
      <alignment vertical="center"/>
    </xf>
    <xf numFmtId="0" fontId="22" fillId="9" borderId="1" xfId="0" applyFont="1" applyFill="1" applyBorder="1" applyAlignment="1">
      <alignment horizontal="center" vertical="center"/>
    </xf>
    <xf numFmtId="164" fontId="10" fillId="2" borderId="23" xfId="3" applyNumberFormat="1" applyFont="1" applyBorder="1" applyAlignment="1">
      <alignment horizontal="center" vertical="center"/>
    </xf>
    <xf numFmtId="0" fontId="6" fillId="9" borderId="9" xfId="0" applyFont="1" applyFill="1" applyBorder="1" applyAlignment="1">
      <alignment vertical="center"/>
    </xf>
    <xf numFmtId="0" fontId="5" fillId="8" borderId="5" xfId="0" applyFont="1" applyFill="1" applyBorder="1" applyAlignment="1">
      <alignment horizontal="left" vertical="center" indent="1"/>
    </xf>
    <xf numFmtId="164" fontId="6" fillId="8" borderId="5" xfId="0" applyNumberFormat="1" applyFont="1" applyFill="1" applyBorder="1"/>
    <xf numFmtId="0" fontId="3" fillId="9" borderId="0" xfId="0" applyFont="1" applyFill="1"/>
    <xf numFmtId="0" fontId="10" fillId="2" borderId="23" xfId="3" applyFont="1" applyBorder="1" applyAlignment="1">
      <alignment horizontal="center" vertical="center"/>
    </xf>
    <xf numFmtId="164" fontId="6" fillId="3" borderId="9" xfId="0" applyNumberFormat="1" applyFont="1" applyFill="1" applyBorder="1"/>
    <xf numFmtId="0" fontId="3" fillId="3" borderId="9" xfId="0" applyFont="1" applyFill="1" applyBorder="1"/>
    <xf numFmtId="0" fontId="10" fillId="12" borderId="26" xfId="3" applyFont="1" applyFill="1" applyBorder="1" applyAlignment="1">
      <alignment horizontal="center" vertical="center"/>
    </xf>
    <xf numFmtId="0" fontId="23" fillId="3" borderId="18" xfId="3" applyFont="1" applyFill="1" applyBorder="1" applyAlignment="1">
      <alignment horizontal="left" vertical="center" indent="1"/>
    </xf>
    <xf numFmtId="9" fontId="10" fillId="2" borderId="27" xfId="3" applyNumberFormat="1" applyFont="1" applyBorder="1" applyAlignment="1">
      <alignment horizontal="center" vertical="center"/>
    </xf>
    <xf numFmtId="0" fontId="18" fillId="8" borderId="0" xfId="0" applyFont="1" applyFill="1" applyAlignment="1">
      <alignment horizontal="center" vertical="center"/>
    </xf>
    <xf numFmtId="0" fontId="3" fillId="3" borderId="5" xfId="0" applyFont="1" applyFill="1" applyBorder="1"/>
    <xf numFmtId="0" fontId="3" fillId="3" borderId="0" xfId="0" applyFont="1" applyFill="1"/>
    <xf numFmtId="0" fontId="6" fillId="3" borderId="0" xfId="0" applyFont="1" applyFill="1" applyAlignment="1">
      <alignment vertical="center"/>
    </xf>
    <xf numFmtId="0" fontId="25" fillId="3" borderId="0" xfId="0" applyFont="1" applyFill="1" applyAlignment="1">
      <alignment horizontal="left" vertical="center" indent="1"/>
    </xf>
    <xf numFmtId="0" fontId="22" fillId="0" borderId="25" xfId="0" applyFont="1" applyBorder="1" applyAlignment="1">
      <alignment horizontal="center" vertical="center"/>
    </xf>
    <xf numFmtId="0" fontId="38" fillId="8" borderId="25" xfId="0" applyFont="1" applyFill="1" applyBorder="1" applyAlignment="1">
      <alignment horizontal="center" vertical="center" wrapText="1"/>
    </xf>
    <xf numFmtId="0" fontId="25" fillId="3" borderId="9" xfId="0" applyFont="1" applyFill="1" applyBorder="1" applyAlignment="1">
      <alignment horizontal="left" vertical="center" wrapText="1" indent="1"/>
    </xf>
    <xf numFmtId="0" fontId="5" fillId="3" borderId="8" xfId="0" applyFont="1" applyFill="1" applyBorder="1" applyAlignment="1">
      <alignment horizontal="left" vertical="center" indent="1"/>
    </xf>
    <xf numFmtId="164" fontId="35" fillId="2" borderId="23" xfId="3" applyNumberFormat="1" applyFont="1" applyBorder="1" applyAlignment="1">
      <alignment vertical="center"/>
    </xf>
    <xf numFmtId="164" fontId="22" fillId="8" borderId="27" xfId="1" applyNumberFormat="1" applyFont="1" applyFill="1" applyBorder="1" applyAlignment="1">
      <alignment vertical="center"/>
    </xf>
    <xf numFmtId="164" fontId="22" fillId="8" borderId="27" xfId="1" applyNumberFormat="1" applyFont="1" applyFill="1" applyBorder="1" applyAlignment="1">
      <alignment horizontal="center" vertical="center"/>
    </xf>
    <xf numFmtId="0" fontId="6" fillId="9" borderId="1" xfId="0" applyFont="1" applyFill="1" applyBorder="1" applyAlignment="1">
      <alignment horizontal="left" indent="1"/>
    </xf>
    <xf numFmtId="0" fontId="11" fillId="9" borderId="1" xfId="0" applyFont="1" applyFill="1" applyBorder="1" applyAlignment="1">
      <alignment horizontal="left" indent="1"/>
    </xf>
    <xf numFmtId="0" fontId="5" fillId="9" borderId="1" xfId="0" applyFont="1" applyFill="1" applyBorder="1" applyAlignment="1">
      <alignment horizontal="left" vertical="center" indent="2"/>
    </xf>
    <xf numFmtId="0" fontId="3" fillId="9" borderId="1" xfId="0" applyFont="1" applyFill="1" applyBorder="1" applyAlignment="1">
      <alignment horizontal="left" indent="1"/>
    </xf>
    <xf numFmtId="0" fontId="34" fillId="9" borderId="10" xfId="0" applyFont="1" applyFill="1" applyBorder="1" applyAlignment="1">
      <alignment horizontal="left" vertical="center" indent="1"/>
    </xf>
    <xf numFmtId="0" fontId="6" fillId="9" borderId="10" xfId="0" applyFont="1" applyFill="1" applyBorder="1" applyAlignment="1">
      <alignment horizontal="left" indent="1"/>
    </xf>
    <xf numFmtId="0" fontId="11" fillId="9" borderId="10" xfId="0" applyFont="1" applyFill="1" applyBorder="1" applyAlignment="1">
      <alignment horizontal="left" indent="1"/>
    </xf>
    <xf numFmtId="0" fontId="5" fillId="9" borderId="10" xfId="0" applyFont="1" applyFill="1" applyBorder="1" applyAlignment="1">
      <alignment horizontal="left" vertical="center" indent="1"/>
    </xf>
    <xf numFmtId="0" fontId="5" fillId="9" borderId="10" xfId="0" applyFont="1" applyFill="1" applyBorder="1" applyAlignment="1">
      <alignment horizontal="left" vertical="center" indent="2"/>
    </xf>
    <xf numFmtId="0" fontId="3" fillId="9" borderId="10" xfId="0" applyFont="1" applyFill="1" applyBorder="1" applyAlignment="1">
      <alignment horizontal="left" indent="1"/>
    </xf>
    <xf numFmtId="0" fontId="22" fillId="0" borderId="23" xfId="0" applyFont="1" applyBorder="1" applyAlignment="1">
      <alignment horizontal="center" vertical="center"/>
    </xf>
    <xf numFmtId="0" fontId="3" fillId="0" borderId="3" xfId="0" applyFont="1" applyBorder="1"/>
    <xf numFmtId="0" fontId="3" fillId="8" borderId="3" xfId="0" applyFont="1" applyFill="1" applyBorder="1" applyAlignment="1">
      <alignment horizontal="left" vertical="center" indent="1"/>
    </xf>
    <xf numFmtId="169" fontId="5" fillId="8" borderId="30" xfId="0" applyNumberFormat="1" applyFont="1" applyFill="1" applyBorder="1"/>
    <xf numFmtId="0" fontId="3" fillId="8" borderId="33" xfId="0" applyFont="1" applyFill="1" applyBorder="1" applyAlignment="1">
      <alignment horizontal="left" vertical="center" indent="1"/>
    </xf>
    <xf numFmtId="0" fontId="18" fillId="8" borderId="36" xfId="0" applyFont="1" applyFill="1" applyBorder="1" applyAlignment="1">
      <alignment horizontal="left" vertical="center" indent="1"/>
    </xf>
    <xf numFmtId="169" fontId="5" fillId="8" borderId="0" xfId="0" applyNumberFormat="1" applyFont="1" applyFill="1"/>
    <xf numFmtId="0" fontId="3" fillId="8" borderId="36" xfId="0" applyFont="1" applyFill="1" applyBorder="1"/>
    <xf numFmtId="0" fontId="3" fillId="8" borderId="37" xfId="0" applyFont="1" applyFill="1" applyBorder="1"/>
    <xf numFmtId="0" fontId="6" fillId="3" borderId="36" xfId="0" applyFont="1" applyFill="1" applyBorder="1"/>
    <xf numFmtId="9" fontId="22" fillId="3" borderId="0" xfId="2" applyFont="1" applyFill="1" applyBorder="1" applyAlignment="1">
      <alignment horizontal="center" vertical="top"/>
    </xf>
    <xf numFmtId="0" fontId="6" fillId="3" borderId="37" xfId="0" applyFont="1" applyFill="1" applyBorder="1"/>
    <xf numFmtId="0" fontId="6" fillId="8" borderId="36" xfId="0" applyFont="1" applyFill="1" applyBorder="1"/>
    <xf numFmtId="0" fontId="3" fillId="8" borderId="0" xfId="0" applyFont="1" applyFill="1" applyAlignment="1">
      <alignment horizontal="left" indent="1"/>
    </xf>
    <xf numFmtId="166" fontId="33" fillId="8" borderId="0" xfId="2" applyNumberFormat="1" applyFont="1" applyFill="1" applyBorder="1" applyAlignment="1">
      <alignment horizontal="right"/>
    </xf>
    <xf numFmtId="9" fontId="33" fillId="8" borderId="0" xfId="2" applyFont="1" applyFill="1" applyBorder="1" applyAlignment="1">
      <alignment horizontal="right"/>
    </xf>
    <xf numFmtId="9" fontId="29" fillId="8" borderId="0" xfId="2" applyFont="1" applyFill="1" applyBorder="1" applyAlignment="1">
      <alignment horizontal="right"/>
    </xf>
    <xf numFmtId="9" fontId="32" fillId="8" borderId="0" xfId="2" applyFont="1" applyFill="1" applyBorder="1" applyAlignment="1">
      <alignment horizontal="right"/>
    </xf>
    <xf numFmtId="0" fontId="6" fillId="4" borderId="38" xfId="0" applyFont="1" applyFill="1" applyBorder="1"/>
    <xf numFmtId="164" fontId="3" fillId="8" borderId="0" xfId="1" applyNumberFormat="1" applyFont="1" applyFill="1" applyBorder="1"/>
    <xf numFmtId="0" fontId="24" fillId="8" borderId="36" xfId="0" applyFont="1" applyFill="1" applyBorder="1" applyAlignment="1">
      <alignment horizontal="right" vertical="center" textRotation="90"/>
    </xf>
    <xf numFmtId="0" fontId="6" fillId="8" borderId="0" xfId="1" applyNumberFormat="1" applyFont="1" applyFill="1" applyBorder="1" applyAlignment="1">
      <alignment horizontal="left" indent="1"/>
    </xf>
    <xf numFmtId="0" fontId="24" fillId="8" borderId="36" xfId="0" applyFont="1" applyFill="1" applyBorder="1" applyAlignment="1">
      <alignment horizontal="center" vertical="center" textRotation="90"/>
    </xf>
    <xf numFmtId="165" fontId="7" fillId="8" borderId="0" xfId="2" applyNumberFormat="1" applyFont="1" applyFill="1" applyBorder="1" applyAlignment="1">
      <alignment horizontal="right"/>
    </xf>
    <xf numFmtId="0" fontId="6" fillId="8" borderId="0" xfId="1" applyNumberFormat="1" applyFont="1" applyFill="1" applyBorder="1" applyAlignment="1">
      <alignment horizontal="left" vertical="center" indent="1"/>
    </xf>
    <xf numFmtId="0" fontId="3" fillId="8" borderId="39" xfId="0" applyFont="1" applyFill="1" applyBorder="1"/>
    <xf numFmtId="164" fontId="19" fillId="8" borderId="9" xfId="1" applyNumberFormat="1" applyFont="1" applyFill="1" applyBorder="1" applyAlignment="1">
      <alignment vertical="top"/>
    </xf>
    <xf numFmtId="0" fontId="6" fillId="8" borderId="35" xfId="0" applyFont="1" applyFill="1" applyBorder="1" applyAlignment="1">
      <alignment horizontal="left" indent="1"/>
    </xf>
    <xf numFmtId="9" fontId="7" fillId="8" borderId="37" xfId="2" applyFont="1" applyFill="1" applyBorder="1" applyAlignment="1">
      <alignment horizontal="left"/>
    </xf>
    <xf numFmtId="0" fontId="6" fillId="8" borderId="37" xfId="0" applyFont="1" applyFill="1" applyBorder="1" applyAlignment="1">
      <alignment horizontal="left" indent="1"/>
    </xf>
    <xf numFmtId="0" fontId="3" fillId="8" borderId="37" xfId="0" applyFont="1" applyFill="1" applyBorder="1" applyAlignment="1">
      <alignment horizontal="left" indent="1"/>
    </xf>
    <xf numFmtId="0" fontId="6" fillId="8" borderId="37" xfId="0" applyFont="1" applyFill="1" applyBorder="1" applyAlignment="1">
      <alignment horizontal="left" indent="2"/>
    </xf>
    <xf numFmtId="164" fontId="19" fillId="8" borderId="40" xfId="1" applyNumberFormat="1" applyFont="1" applyFill="1" applyBorder="1" applyAlignment="1">
      <alignment vertical="top"/>
    </xf>
    <xf numFmtId="0" fontId="5" fillId="8" borderId="0" xfId="0" applyFont="1" applyFill="1" applyAlignment="1">
      <alignment horizontal="left"/>
    </xf>
    <xf numFmtId="0" fontId="18" fillId="8" borderId="0" xfId="0" applyFont="1" applyFill="1" applyAlignment="1">
      <alignment vertical="center"/>
    </xf>
    <xf numFmtId="0" fontId="24" fillId="4" borderId="5" xfId="0" applyFont="1" applyFill="1" applyBorder="1" applyAlignment="1">
      <alignment vertical="center"/>
    </xf>
    <xf numFmtId="0" fontId="41" fillId="4" borderId="5" xfId="0" applyFont="1" applyFill="1" applyBorder="1"/>
    <xf numFmtId="164" fontId="24" fillId="4" borderId="5" xfId="0" applyNumberFormat="1" applyFont="1" applyFill="1" applyBorder="1"/>
    <xf numFmtId="0" fontId="42" fillId="0" borderId="0" xfId="0" applyFont="1"/>
    <xf numFmtId="0" fontId="42" fillId="8" borderId="0" xfId="0" applyFont="1" applyFill="1"/>
    <xf numFmtId="0" fontId="41" fillId="4" borderId="38" xfId="0" applyFont="1" applyFill="1" applyBorder="1" applyAlignment="1">
      <alignment vertical="center"/>
    </xf>
    <xf numFmtId="0" fontId="25" fillId="8" borderId="0" xfId="0" applyFont="1" applyFill="1" applyAlignment="1">
      <alignment horizontal="left"/>
    </xf>
    <xf numFmtId="164" fontId="24" fillId="4" borderId="5" xfId="0" applyNumberFormat="1" applyFont="1" applyFill="1" applyBorder="1" applyAlignment="1">
      <alignment vertical="center"/>
    </xf>
    <xf numFmtId="164" fontId="25" fillId="8" borderId="0" xfId="1" applyNumberFormat="1" applyFont="1" applyFill="1" applyBorder="1" applyAlignment="1">
      <alignment horizontal="left" vertical="center"/>
    </xf>
    <xf numFmtId="164" fontId="25" fillId="5" borderId="0" xfId="1" applyNumberFormat="1" applyFont="1" applyFill="1" applyBorder="1" applyAlignment="1">
      <alignment horizontal="left" vertical="center"/>
    </xf>
    <xf numFmtId="164" fontId="25" fillId="0" borderId="0" xfId="1" applyNumberFormat="1" applyFont="1" applyFill="1" applyBorder="1" applyAlignment="1">
      <alignment horizontal="left" vertical="center"/>
    </xf>
    <xf numFmtId="0" fontId="37" fillId="8" borderId="30" xfId="0" applyFont="1" applyFill="1" applyBorder="1" applyAlignment="1">
      <alignment horizontal="left" vertical="center" indent="1"/>
    </xf>
    <xf numFmtId="169" fontId="22" fillId="8" borderId="30" xfId="0" applyNumberFormat="1" applyFont="1" applyFill="1" applyBorder="1" applyAlignment="1">
      <alignment horizontal="left" vertical="center"/>
    </xf>
    <xf numFmtId="169" fontId="22" fillId="8" borderId="1" xfId="0" applyNumberFormat="1" applyFont="1" applyFill="1" applyBorder="1" applyAlignment="1">
      <alignment horizontal="left" vertical="center"/>
    </xf>
    <xf numFmtId="0" fontId="25" fillId="8" borderId="30" xfId="0" applyFont="1" applyFill="1" applyBorder="1" applyAlignment="1">
      <alignment horizontal="left" vertical="center" indent="1"/>
    </xf>
    <xf numFmtId="0" fontId="25" fillId="8" borderId="1" xfId="0" applyFont="1" applyFill="1" applyBorder="1" applyAlignment="1">
      <alignment horizontal="left" vertical="center" indent="1"/>
    </xf>
    <xf numFmtId="0" fontId="37" fillId="8" borderId="1" xfId="0" applyFont="1" applyFill="1" applyBorder="1" applyAlignment="1">
      <alignment horizontal="left" vertical="center" indent="1"/>
    </xf>
    <xf numFmtId="164" fontId="6" fillId="8" borderId="0" xfId="0" applyNumberFormat="1" applyFont="1" applyFill="1" applyAlignment="1">
      <alignment horizontal="left" vertical="center" indent="1"/>
    </xf>
    <xf numFmtId="164" fontId="6" fillId="8" borderId="9" xfId="0" applyNumberFormat="1" applyFont="1" applyFill="1" applyBorder="1" applyAlignment="1">
      <alignment horizontal="left" vertical="center" indent="1"/>
    </xf>
    <xf numFmtId="0" fontId="24" fillId="3" borderId="0" xfId="0" applyFont="1" applyFill="1" applyAlignment="1">
      <alignment horizontal="left" vertical="center" indent="1"/>
    </xf>
    <xf numFmtId="0" fontId="41" fillId="3" borderId="0" xfId="0" applyFont="1" applyFill="1" applyAlignment="1">
      <alignment vertical="center"/>
    </xf>
    <xf numFmtId="0" fontId="42" fillId="3" borderId="0" xfId="0" applyFont="1" applyFill="1"/>
    <xf numFmtId="0" fontId="42" fillId="8" borderId="3" xfId="0" applyFont="1" applyFill="1" applyBorder="1" applyAlignment="1">
      <alignment horizontal="left" vertical="center" indent="1"/>
    </xf>
    <xf numFmtId="0" fontId="42" fillId="8" borderId="0" xfId="0" applyFont="1" applyFill="1" applyAlignment="1">
      <alignment horizontal="left" vertical="center" indent="1"/>
    </xf>
    <xf numFmtId="0" fontId="25" fillId="3" borderId="0" xfId="0" applyFont="1" applyFill="1" applyAlignment="1">
      <alignment horizontal="center" vertical="center"/>
    </xf>
    <xf numFmtId="0" fontId="24" fillId="3" borderId="8" xfId="0" applyFont="1" applyFill="1" applyBorder="1" applyAlignment="1">
      <alignment horizontal="left" vertical="center" indent="1"/>
    </xf>
    <xf numFmtId="0" fontId="41" fillId="3" borderId="9" xfId="0" applyFont="1" applyFill="1" applyBorder="1" applyAlignment="1">
      <alignment horizontal="left" vertical="center" wrapText="1" indent="1"/>
    </xf>
    <xf numFmtId="164" fontId="10" fillId="2" borderId="23" xfId="1" applyNumberFormat="1" applyFont="1" applyFill="1" applyBorder="1" applyAlignment="1">
      <alignment vertical="center"/>
    </xf>
    <xf numFmtId="0" fontId="5" fillId="13" borderId="0" xfId="0" applyFont="1" applyFill="1" applyAlignment="1">
      <alignment horizontal="left"/>
    </xf>
    <xf numFmtId="0" fontId="5" fillId="13" borderId="0" xfId="0" applyFont="1" applyFill="1"/>
    <xf numFmtId="164" fontId="5" fillId="13" borderId="0" xfId="0" applyNumberFormat="1" applyFont="1" applyFill="1"/>
    <xf numFmtId="0" fontId="6" fillId="13" borderId="0" xfId="0" applyFont="1" applyFill="1"/>
    <xf numFmtId="0" fontId="6" fillId="13" borderId="0" xfId="0" applyFont="1" applyFill="1" applyAlignment="1">
      <alignment horizontal="left" indent="1"/>
    </xf>
    <xf numFmtId="164" fontId="6" fillId="13" borderId="0" xfId="0" applyNumberFormat="1" applyFont="1" applyFill="1"/>
    <xf numFmtId="0" fontId="3" fillId="13" borderId="0" xfId="0" applyFont="1" applyFill="1"/>
    <xf numFmtId="0" fontId="3" fillId="13" borderId="0" xfId="0" applyFont="1" applyFill="1" applyAlignment="1">
      <alignment horizontal="left" indent="1"/>
    </xf>
    <xf numFmtId="0" fontId="5" fillId="13" borderId="5" xfId="0" applyFont="1" applyFill="1" applyBorder="1"/>
    <xf numFmtId="0" fontId="6" fillId="13" borderId="5" xfId="0" applyFont="1" applyFill="1" applyBorder="1"/>
    <xf numFmtId="164" fontId="5" fillId="13" borderId="5" xfId="0" applyNumberFormat="1" applyFont="1" applyFill="1" applyBorder="1"/>
    <xf numFmtId="164" fontId="9" fillId="13" borderId="0" xfId="0" applyNumberFormat="1" applyFont="1" applyFill="1"/>
    <xf numFmtId="165" fontId="5" fillId="13" borderId="0" xfId="2" applyNumberFormat="1" applyFont="1" applyFill="1" applyBorder="1"/>
    <xf numFmtId="0" fontId="6" fillId="13" borderId="0" xfId="0" applyFont="1" applyFill="1" applyAlignment="1">
      <alignment horizontal="left" indent="2"/>
    </xf>
    <xf numFmtId="0" fontId="5" fillId="13" borderId="0" xfId="0" applyFont="1" applyFill="1" applyAlignment="1">
      <alignment horizontal="left" indent="1"/>
    </xf>
    <xf numFmtId="0" fontId="3" fillId="8" borderId="3" xfId="0" applyFont="1" applyFill="1" applyBorder="1" applyAlignment="1">
      <alignment horizontal="left" vertical="top" indent="1"/>
    </xf>
    <xf numFmtId="0" fontId="3" fillId="8" borderId="0" xfId="0" applyFont="1" applyFill="1" applyAlignment="1">
      <alignment horizontal="left" vertical="top" indent="1"/>
    </xf>
    <xf numFmtId="0" fontId="10" fillId="12" borderId="41" xfId="3" applyFont="1" applyFill="1" applyBorder="1" applyAlignment="1">
      <alignment horizontal="center" vertical="center"/>
    </xf>
    <xf numFmtId="0" fontId="11" fillId="9" borderId="0" xfId="0" applyFont="1" applyFill="1" applyAlignment="1">
      <alignment horizontal="center"/>
    </xf>
    <xf numFmtId="0" fontId="10" fillId="2" borderId="24" xfId="3" applyFont="1" applyBorder="1" applyAlignment="1">
      <alignment horizontal="center" vertical="center"/>
    </xf>
    <xf numFmtId="0" fontId="5" fillId="3" borderId="9" xfId="0" applyFont="1" applyFill="1" applyBorder="1" applyAlignment="1">
      <alignment horizontal="left" vertical="center" indent="1"/>
    </xf>
    <xf numFmtId="0" fontId="3" fillId="8" borderId="8" xfId="0" applyFont="1" applyFill="1" applyBorder="1"/>
    <xf numFmtId="0" fontId="6" fillId="8" borderId="8" xfId="0" applyFont="1" applyFill="1" applyBorder="1"/>
    <xf numFmtId="9" fontId="10" fillId="2" borderId="25" xfId="3" applyNumberFormat="1" applyFont="1" applyBorder="1" applyAlignment="1">
      <alignment horizontal="center" vertical="center"/>
    </xf>
    <xf numFmtId="164" fontId="6" fillId="8" borderId="1" xfId="0" applyNumberFormat="1" applyFont="1" applyFill="1" applyBorder="1" applyAlignment="1">
      <alignment horizontal="left" vertical="center" indent="1"/>
    </xf>
    <xf numFmtId="0" fontId="5" fillId="3" borderId="0" xfId="0" applyFont="1" applyFill="1" applyAlignment="1">
      <alignment horizontal="left" vertical="center" indent="1"/>
    </xf>
    <xf numFmtId="0" fontId="24" fillId="9" borderId="10" xfId="0" applyFont="1" applyFill="1" applyBorder="1" applyAlignment="1">
      <alignment horizontal="left" vertical="center" indent="1"/>
    </xf>
    <xf numFmtId="0" fontId="6" fillId="3" borderId="5" xfId="0" applyFont="1" applyFill="1" applyBorder="1" applyAlignment="1">
      <alignment vertical="center"/>
    </xf>
    <xf numFmtId="0" fontId="3" fillId="3" borderId="24" xfId="0" applyFont="1" applyFill="1" applyBorder="1"/>
    <xf numFmtId="0" fontId="22" fillId="3" borderId="5" xfId="0" applyFont="1" applyFill="1" applyBorder="1" applyAlignment="1">
      <alignment horizontal="left" vertical="center" indent="1"/>
    </xf>
    <xf numFmtId="164" fontId="10" fillId="2" borderId="27" xfId="1" applyNumberFormat="1" applyFont="1" applyFill="1" applyBorder="1" applyAlignment="1">
      <alignment vertical="center"/>
    </xf>
    <xf numFmtId="0" fontId="3" fillId="3" borderId="1" xfId="0" applyFont="1" applyFill="1" applyBorder="1"/>
    <xf numFmtId="0" fontId="22" fillId="3" borderId="1" xfId="0" applyFont="1" applyFill="1" applyBorder="1" applyAlignment="1">
      <alignment horizontal="left" vertical="center" indent="1"/>
    </xf>
    <xf numFmtId="0" fontId="6" fillId="3" borderId="1" xfId="0" applyFont="1" applyFill="1" applyBorder="1" applyAlignment="1">
      <alignment vertical="center"/>
    </xf>
    <xf numFmtId="0" fontId="5" fillId="3" borderId="21" xfId="0" applyFont="1" applyFill="1" applyBorder="1" applyAlignment="1">
      <alignment horizontal="left" vertical="center" indent="1"/>
    </xf>
    <xf numFmtId="0" fontId="6" fillId="3" borderId="21" xfId="0" applyFont="1" applyFill="1" applyBorder="1" applyAlignment="1">
      <alignment vertical="center"/>
    </xf>
    <xf numFmtId="0" fontId="3" fillId="3" borderId="21" xfId="0" applyFont="1" applyFill="1" applyBorder="1"/>
    <xf numFmtId="0" fontId="36" fillId="3" borderId="21" xfId="0" applyFont="1" applyFill="1" applyBorder="1" applyAlignment="1">
      <alignment vertical="center" wrapText="1"/>
    </xf>
    <xf numFmtId="0" fontId="25" fillId="3" borderId="1" xfId="0" applyFont="1" applyFill="1" applyBorder="1" applyAlignment="1">
      <alignment horizontal="left" vertical="center" wrapText="1" indent="1"/>
    </xf>
    <xf numFmtId="0" fontId="36" fillId="3" borderId="1" xfId="0" applyFont="1" applyFill="1" applyBorder="1" applyAlignment="1">
      <alignment vertical="center" wrapText="1"/>
    </xf>
    <xf numFmtId="0" fontId="22" fillId="8" borderId="0" xfId="0" applyFont="1" applyFill="1" applyAlignment="1">
      <alignment horizontal="left" vertical="center" indent="1"/>
    </xf>
    <xf numFmtId="0" fontId="24" fillId="4" borderId="5" xfId="0" applyFont="1" applyFill="1" applyBorder="1" applyAlignment="1">
      <alignment horizontal="left" vertical="center" indent="1"/>
    </xf>
    <xf numFmtId="0" fontId="42" fillId="0" borderId="0" xfId="0" applyFont="1" applyAlignment="1">
      <alignment horizontal="left" vertical="center" indent="1"/>
    </xf>
    <xf numFmtId="0" fontId="5" fillId="8" borderId="0" xfId="0" applyFont="1" applyFill="1" applyAlignment="1">
      <alignment horizontal="left" vertical="center" indent="2"/>
    </xf>
    <xf numFmtId="0" fontId="5" fillId="8" borderId="0" xfId="0" applyFont="1" applyFill="1" applyAlignment="1">
      <alignment vertical="center"/>
    </xf>
    <xf numFmtId="0" fontId="24" fillId="4" borderId="42" xfId="0" applyFont="1" applyFill="1" applyBorder="1" applyAlignment="1">
      <alignment horizontal="left" vertical="center" indent="1"/>
    </xf>
    <xf numFmtId="0" fontId="22" fillId="3" borderId="0" xfId="0" applyFont="1" applyFill="1" applyAlignment="1">
      <alignment horizontal="center" vertical="center" wrapText="1"/>
    </xf>
    <xf numFmtId="0" fontId="22" fillId="3" borderId="0" xfId="0" applyFont="1" applyFill="1" applyAlignment="1">
      <alignment wrapText="1"/>
    </xf>
    <xf numFmtId="0" fontId="22" fillId="3" borderId="37" xfId="0" applyFont="1" applyFill="1" applyBorder="1" applyAlignment="1">
      <alignment wrapText="1"/>
    </xf>
    <xf numFmtId="0" fontId="25" fillId="3" borderId="0" xfId="0" applyFont="1" applyFill="1" applyAlignment="1">
      <alignment horizontal="left" indent="1"/>
    </xf>
    <xf numFmtId="164" fontId="25" fillId="3" borderId="0" xfId="0" applyNumberFormat="1" applyFont="1" applyFill="1" applyAlignment="1">
      <alignment horizontal="left"/>
    </xf>
    <xf numFmtId="164" fontId="25" fillId="3" borderId="37" xfId="0" applyNumberFormat="1" applyFont="1" applyFill="1" applyBorder="1" applyAlignment="1">
      <alignment horizontal="left"/>
    </xf>
    <xf numFmtId="0" fontId="24" fillId="8" borderId="39" xfId="0" applyFont="1" applyFill="1" applyBorder="1" applyAlignment="1">
      <alignment horizontal="center" vertical="center" textRotation="90"/>
    </xf>
    <xf numFmtId="0" fontId="25" fillId="3" borderId="9" xfId="0" applyFont="1" applyFill="1" applyBorder="1" applyAlignment="1">
      <alignment horizontal="left" indent="1"/>
    </xf>
    <xf numFmtId="164" fontId="25" fillId="3" borderId="9" xfId="0" applyNumberFormat="1" applyFont="1" applyFill="1" applyBorder="1" applyAlignment="1">
      <alignment horizontal="left"/>
    </xf>
    <xf numFmtId="164" fontId="25" fillId="3" borderId="40" xfId="0" applyNumberFormat="1" applyFont="1" applyFill="1" applyBorder="1" applyAlignment="1">
      <alignment horizontal="left"/>
    </xf>
    <xf numFmtId="164" fontId="25" fillId="3" borderId="0" xfId="1" applyNumberFormat="1" applyFont="1" applyFill="1" applyBorder="1" applyAlignment="1">
      <alignment horizontal="left"/>
    </xf>
    <xf numFmtId="164" fontId="25" fillId="3" borderId="9" xfId="1" applyNumberFormat="1" applyFont="1" applyFill="1" applyBorder="1" applyAlignment="1">
      <alignment horizontal="left"/>
    </xf>
    <xf numFmtId="164" fontId="41" fillId="8" borderId="0" xfId="1" applyNumberFormat="1" applyFont="1" applyFill="1" applyBorder="1" applyAlignment="1">
      <alignment vertical="center"/>
    </xf>
    <xf numFmtId="43" fontId="24" fillId="8" borderId="0" xfId="12" applyFont="1" applyFill="1" applyBorder="1" applyAlignment="1">
      <alignment vertical="center"/>
    </xf>
    <xf numFmtId="0" fontId="3" fillId="0" borderId="9" xfId="0" applyFont="1" applyBorder="1"/>
    <xf numFmtId="166" fontId="10" fillId="2" borderId="25" xfId="12" applyNumberFormat="1" applyFont="1" applyFill="1" applyBorder="1" applyAlignment="1">
      <alignment horizontal="left" vertical="center"/>
    </xf>
    <xf numFmtId="0" fontId="5" fillId="3" borderId="0" xfId="0" applyFont="1" applyFill="1" applyAlignment="1">
      <alignment horizontal="right"/>
    </xf>
    <xf numFmtId="0" fontId="5" fillId="3" borderId="0" xfId="0" applyFont="1" applyFill="1" applyAlignment="1">
      <alignment horizontal="center" vertical="top"/>
    </xf>
    <xf numFmtId="9" fontId="5" fillId="3" borderId="0" xfId="2" applyFont="1" applyFill="1" applyAlignment="1">
      <alignment horizontal="center" vertical="top"/>
    </xf>
    <xf numFmtId="164" fontId="6" fillId="8" borderId="0" xfId="1" applyNumberFormat="1" applyFont="1" applyFill="1" applyBorder="1"/>
    <xf numFmtId="9" fontId="6" fillId="8" borderId="0" xfId="2" applyFont="1" applyFill="1" applyBorder="1"/>
    <xf numFmtId="0" fontId="6" fillId="8" borderId="0" xfId="0" applyFont="1" applyFill="1" applyAlignment="1">
      <alignment horizontal="center"/>
    </xf>
    <xf numFmtId="0" fontId="49" fillId="8" borderId="0" xfId="0" applyFont="1" applyFill="1" applyAlignment="1">
      <alignment horizontal="center"/>
    </xf>
    <xf numFmtId="1" fontId="5" fillId="8" borderId="0" xfId="0" applyNumberFormat="1" applyFont="1" applyFill="1" applyAlignment="1">
      <alignment horizontal="center" vertical="center"/>
    </xf>
    <xf numFmtId="0" fontId="34" fillId="8" borderId="30" xfId="0" applyFont="1" applyFill="1" applyBorder="1" applyAlignment="1">
      <alignment vertical="center"/>
    </xf>
    <xf numFmtId="0" fontId="34" fillId="8" borderId="1" xfId="0" applyFont="1" applyFill="1" applyBorder="1" applyAlignment="1">
      <alignment vertical="center"/>
    </xf>
    <xf numFmtId="0" fontId="36" fillId="3" borderId="4" xfId="0" applyFont="1" applyFill="1" applyBorder="1" applyAlignment="1">
      <alignment horizontal="left" vertical="center" wrapText="1" indent="1"/>
    </xf>
    <xf numFmtId="0" fontId="36" fillId="3" borderId="5" xfId="0" applyFont="1" applyFill="1" applyBorder="1" applyAlignment="1">
      <alignment horizontal="left" vertical="center" wrapText="1" indent="1"/>
    </xf>
    <xf numFmtId="0" fontId="36" fillId="3" borderId="24" xfId="0" applyFont="1" applyFill="1" applyBorder="1" applyAlignment="1">
      <alignment horizontal="left" vertical="center" wrapText="1" indent="1"/>
    </xf>
    <xf numFmtId="0" fontId="36" fillId="3" borderId="11" xfId="0" applyFont="1" applyFill="1" applyBorder="1" applyAlignment="1">
      <alignment horizontal="left" vertical="center" wrapText="1" indent="1"/>
    </xf>
    <xf numFmtId="0" fontId="36" fillId="3" borderId="1" xfId="0" applyFont="1" applyFill="1" applyBorder="1" applyAlignment="1">
      <alignment horizontal="left" vertical="center" wrapText="1" indent="1"/>
    </xf>
    <xf numFmtId="0" fontId="36" fillId="3" borderId="22" xfId="0" applyFont="1" applyFill="1" applyBorder="1" applyAlignment="1">
      <alignment horizontal="left" vertical="center" wrapText="1" indent="1"/>
    </xf>
    <xf numFmtId="6" fontId="22" fillId="8" borderId="11" xfId="2" applyNumberFormat="1" applyFont="1" applyFill="1" applyBorder="1" applyAlignment="1">
      <alignment horizontal="center" vertical="center"/>
    </xf>
    <xf numFmtId="10" fontId="22" fillId="8" borderId="22" xfId="2" applyNumberFormat="1" applyFont="1" applyFill="1" applyBorder="1" applyAlignment="1">
      <alignment horizontal="center" vertical="center"/>
    </xf>
    <xf numFmtId="0" fontId="36" fillId="3" borderId="30" xfId="0" applyFont="1" applyFill="1" applyBorder="1" applyAlignment="1">
      <alignment horizontal="left" vertical="center" wrapText="1" indent="1"/>
    </xf>
    <xf numFmtId="0" fontId="36" fillId="3" borderId="0" xfId="0" applyFont="1" applyFill="1" applyAlignment="1">
      <alignment horizontal="left" vertical="center" wrapText="1" indent="1"/>
    </xf>
    <xf numFmtId="0" fontId="36" fillId="3" borderId="9" xfId="0" applyFont="1" applyFill="1" applyBorder="1" applyAlignment="1">
      <alignment horizontal="left" vertical="center" wrapText="1" indent="1"/>
    </xf>
    <xf numFmtId="0" fontId="38" fillId="8" borderId="28" xfId="0" applyFont="1" applyFill="1" applyBorder="1" applyAlignment="1">
      <alignment horizontal="center" vertical="center" wrapText="1"/>
    </xf>
    <xf numFmtId="0" fontId="38" fillId="8" borderId="29" xfId="0" applyFont="1" applyFill="1" applyBorder="1" applyAlignment="1">
      <alignment horizontal="center" vertical="center" wrapText="1"/>
    </xf>
    <xf numFmtId="164" fontId="22" fillId="8" borderId="11" xfId="1" applyNumberFormat="1" applyFont="1" applyFill="1" applyBorder="1" applyAlignment="1">
      <alignment horizontal="center" vertical="center"/>
    </xf>
    <xf numFmtId="164" fontId="22" fillId="8" borderId="22" xfId="1" applyNumberFormat="1" applyFont="1" applyFill="1" applyBorder="1" applyAlignment="1">
      <alignment horizontal="center" vertical="center"/>
    </xf>
    <xf numFmtId="0" fontId="46" fillId="3" borderId="0" xfId="0" applyFont="1" applyFill="1" applyAlignment="1">
      <alignment horizontal="right" vertical="center" wrapText="1"/>
    </xf>
    <xf numFmtId="0" fontId="36" fillId="3" borderId="8" xfId="0" applyFont="1" applyFill="1" applyBorder="1" applyAlignment="1">
      <alignment horizontal="right" vertical="center" wrapText="1"/>
    </xf>
    <xf numFmtId="0" fontId="25" fillId="8" borderId="4" xfId="0" applyFont="1" applyFill="1" applyBorder="1" applyAlignment="1">
      <alignment horizontal="left" vertical="center" wrapText="1" indent="1"/>
    </xf>
    <xf numFmtId="0" fontId="25" fillId="8" borderId="5" xfId="0" applyFont="1" applyFill="1" applyBorder="1" applyAlignment="1">
      <alignment horizontal="left" vertical="center" wrapText="1" indent="1"/>
    </xf>
    <xf numFmtId="0" fontId="25" fillId="8" borderId="24" xfId="0" applyFont="1" applyFill="1" applyBorder="1" applyAlignment="1">
      <alignment horizontal="left" vertical="center" wrapText="1" indent="1"/>
    </xf>
    <xf numFmtId="0" fontId="25" fillId="8" borderId="11" xfId="0" applyFont="1" applyFill="1" applyBorder="1" applyAlignment="1">
      <alignment horizontal="left" vertical="center" wrapText="1" indent="1"/>
    </xf>
    <xf numFmtId="0" fontId="25" fillId="8" borderId="1" xfId="0" applyFont="1" applyFill="1" applyBorder="1" applyAlignment="1">
      <alignment horizontal="left" vertical="center" wrapText="1" indent="1"/>
    </xf>
    <xf numFmtId="0" fontId="25" fillId="8" borderId="22" xfId="0" applyFont="1" applyFill="1" applyBorder="1" applyAlignment="1">
      <alignment horizontal="left" vertical="center" wrapText="1" indent="1"/>
    </xf>
    <xf numFmtId="0" fontId="45" fillId="0" borderId="28" xfId="3" applyFont="1" applyFill="1" applyBorder="1" applyAlignment="1">
      <alignment horizontal="left" vertical="center" wrapText="1" indent="1"/>
    </xf>
    <xf numFmtId="0" fontId="45" fillId="0" borderId="21" xfId="3" applyFont="1" applyFill="1" applyBorder="1" applyAlignment="1">
      <alignment horizontal="left" vertical="center" wrapText="1" indent="1"/>
    </xf>
    <xf numFmtId="0" fontId="45" fillId="0" borderId="29" xfId="3" applyFont="1" applyFill="1" applyBorder="1" applyAlignment="1">
      <alignment horizontal="left" vertical="center" wrapText="1" indent="1"/>
    </xf>
    <xf numFmtId="0" fontId="45" fillId="0" borderId="3" xfId="3" applyFont="1" applyFill="1" applyBorder="1" applyAlignment="1">
      <alignment horizontal="left" vertical="center" wrapText="1" indent="1"/>
    </xf>
    <xf numFmtId="0" fontId="45" fillId="0" borderId="0" xfId="3" applyFont="1" applyFill="1" applyBorder="1" applyAlignment="1">
      <alignment horizontal="left" vertical="center" wrapText="1" indent="1"/>
    </xf>
    <xf numFmtId="0" fontId="45" fillId="0" borderId="8" xfId="3" applyFont="1" applyFill="1" applyBorder="1" applyAlignment="1">
      <alignment horizontal="left" vertical="center" wrapText="1" indent="1"/>
    </xf>
    <xf numFmtId="0" fontId="45" fillId="0" borderId="11" xfId="3" applyFont="1" applyFill="1" applyBorder="1" applyAlignment="1">
      <alignment horizontal="left" vertical="center" wrapText="1" indent="1"/>
    </xf>
    <xf numFmtId="0" fontId="45" fillId="0" borderId="1" xfId="3" applyFont="1" applyFill="1" applyBorder="1" applyAlignment="1">
      <alignment horizontal="left" vertical="center" wrapText="1" indent="1"/>
    </xf>
    <xf numFmtId="0" fontId="45" fillId="0" borderId="22" xfId="3" applyFont="1" applyFill="1" applyBorder="1" applyAlignment="1">
      <alignment horizontal="left" vertical="center" wrapText="1" indent="1"/>
    </xf>
    <xf numFmtId="0" fontId="36" fillId="8" borderId="23" xfId="0" applyFont="1" applyFill="1" applyBorder="1" applyAlignment="1">
      <alignment horizontal="left" vertical="center" wrapText="1" indent="1"/>
    </xf>
    <xf numFmtId="0" fontId="36" fillId="3" borderId="21" xfId="0" applyFont="1" applyFill="1" applyBorder="1" applyAlignment="1">
      <alignment horizontal="left" vertical="center" wrapText="1" indent="1"/>
    </xf>
    <xf numFmtId="0" fontId="36" fillId="3" borderId="29" xfId="0" applyFont="1" applyFill="1" applyBorder="1" applyAlignment="1">
      <alignment horizontal="left" vertical="center" wrapText="1" indent="1"/>
    </xf>
    <xf numFmtId="0" fontId="36" fillId="3" borderId="8" xfId="0" applyFont="1" applyFill="1" applyBorder="1" applyAlignment="1">
      <alignment horizontal="left" vertical="center" wrapText="1" indent="1"/>
    </xf>
    <xf numFmtId="0" fontId="22" fillId="3" borderId="0" xfId="0" applyFont="1" applyFill="1" applyAlignment="1">
      <alignment horizontal="left" vertical="center" indent="1"/>
    </xf>
    <xf numFmtId="0" fontId="6" fillId="8" borderId="28" xfId="0" applyFont="1" applyFill="1" applyBorder="1" applyAlignment="1">
      <alignment horizontal="left" vertical="center" wrapText="1" indent="1"/>
    </xf>
    <xf numFmtId="0" fontId="6" fillId="8" borderId="21" xfId="0" applyFont="1" applyFill="1" applyBorder="1" applyAlignment="1">
      <alignment horizontal="left" vertical="center" wrapText="1" indent="1"/>
    </xf>
    <xf numFmtId="0" fontId="6" fillId="8" borderId="29" xfId="0" applyFont="1" applyFill="1" applyBorder="1" applyAlignment="1">
      <alignment horizontal="left" vertical="center" wrapText="1" indent="1"/>
    </xf>
    <xf numFmtId="0" fontId="6" fillId="8" borderId="3" xfId="0" applyFont="1" applyFill="1" applyBorder="1" applyAlignment="1">
      <alignment horizontal="left" vertical="center" wrapText="1" indent="1"/>
    </xf>
    <xf numFmtId="0" fontId="6" fillId="8" borderId="0" xfId="0" applyFont="1" applyFill="1" applyAlignment="1">
      <alignment horizontal="left" vertical="center" wrapText="1" indent="1"/>
    </xf>
    <xf numFmtId="0" fontId="6" fillId="8" borderId="8" xfId="0" applyFont="1" applyFill="1" applyBorder="1" applyAlignment="1">
      <alignment horizontal="left" vertical="center" wrapText="1" indent="1"/>
    </xf>
    <xf numFmtId="0" fontId="44" fillId="8" borderId="11" xfId="15" applyFont="1" applyFill="1" applyBorder="1" applyAlignment="1">
      <alignment horizontal="left" vertical="top" wrapText="1" indent="2"/>
    </xf>
    <xf numFmtId="0" fontId="24" fillId="8" borderId="1" xfId="0" applyFont="1" applyFill="1" applyBorder="1" applyAlignment="1">
      <alignment horizontal="left" vertical="top" wrapText="1" indent="2"/>
    </xf>
    <xf numFmtId="0" fontId="24" fillId="8" borderId="22" xfId="0" applyFont="1" applyFill="1" applyBorder="1" applyAlignment="1">
      <alignment horizontal="left" vertical="top" wrapText="1" indent="2"/>
    </xf>
    <xf numFmtId="10" fontId="22" fillId="8" borderId="11" xfId="2" applyNumberFormat="1" applyFont="1" applyFill="1" applyBorder="1" applyAlignment="1">
      <alignment horizontal="center" vertical="center"/>
    </xf>
    <xf numFmtId="0" fontId="10" fillId="2" borderId="4" xfId="3" applyFont="1" applyBorder="1" applyAlignment="1">
      <alignment horizontal="left" vertical="center" indent="1"/>
    </xf>
    <xf numFmtId="0" fontId="10" fillId="2" borderId="5" xfId="3" applyFont="1" applyBorder="1" applyAlignment="1">
      <alignment horizontal="left" vertical="center" indent="1"/>
    </xf>
    <xf numFmtId="0" fontId="10" fillId="2" borderId="24" xfId="3" applyFont="1" applyBorder="1" applyAlignment="1">
      <alignment horizontal="left" vertical="center" indent="1"/>
    </xf>
    <xf numFmtId="0" fontId="34" fillId="8" borderId="32" xfId="0" applyFont="1" applyFill="1" applyBorder="1" applyAlignment="1">
      <alignment horizontal="left" vertical="center" indent="1"/>
    </xf>
    <xf numFmtId="0" fontId="34" fillId="8" borderId="31" xfId="0" applyFont="1" applyFill="1" applyBorder="1" applyAlignment="1">
      <alignment horizontal="left" vertical="center" indent="1"/>
    </xf>
    <xf numFmtId="0" fontId="34" fillId="8" borderId="34" xfId="0" applyFont="1" applyFill="1" applyBorder="1" applyAlignment="1">
      <alignment horizontal="left" vertical="center" indent="1"/>
    </xf>
    <xf numFmtId="0" fontId="34" fillId="8" borderId="1" xfId="0" applyFont="1" applyFill="1" applyBorder="1" applyAlignment="1">
      <alignment horizontal="left" vertical="center" indent="1"/>
    </xf>
    <xf numFmtId="0" fontId="39" fillId="8" borderId="0" xfId="0" applyFont="1" applyFill="1" applyAlignment="1">
      <alignment horizontal="left" vertical="center" wrapText="1" indent="1"/>
    </xf>
    <xf numFmtId="9" fontId="6" fillId="0" borderId="0" xfId="2" applyFont="1" applyAlignment="1">
      <alignment horizontal="center"/>
    </xf>
    <xf numFmtId="169" fontId="5" fillId="8" borderId="0" xfId="0" applyNumberFormat="1" applyFont="1" applyFill="1" applyAlignment="1">
      <alignment horizontal="center" vertical="center"/>
    </xf>
    <xf numFmtId="0" fontId="34" fillId="8" borderId="0" xfId="0" applyFont="1" applyFill="1" applyAlignment="1">
      <alignment horizontal="left" vertical="center"/>
    </xf>
    <xf numFmtId="0" fontId="34" fillId="8" borderId="37" xfId="0" applyFont="1" applyFill="1" applyBorder="1" applyAlignment="1">
      <alignment horizontal="left" vertical="center"/>
    </xf>
    <xf numFmtId="0" fontId="34" fillId="8" borderId="1" xfId="0" applyFont="1" applyFill="1" applyBorder="1" applyAlignment="1">
      <alignment horizontal="left" vertical="center"/>
    </xf>
    <xf numFmtId="0" fontId="34" fillId="8" borderId="35" xfId="0" applyFont="1" applyFill="1" applyBorder="1" applyAlignment="1">
      <alignment horizontal="left" vertical="center"/>
    </xf>
    <xf numFmtId="0" fontId="25" fillId="8" borderId="0" xfId="1" applyNumberFormat="1" applyFont="1" applyFill="1" applyBorder="1" applyAlignment="1">
      <alignment horizontal="left" vertical="center" wrapText="1" indent="1"/>
    </xf>
    <xf numFmtId="0" fontId="25" fillId="8" borderId="37" xfId="1" applyNumberFormat="1" applyFont="1" applyFill="1" applyBorder="1" applyAlignment="1">
      <alignment horizontal="left" vertical="center" wrapText="1" indent="1"/>
    </xf>
    <xf numFmtId="0" fontId="34" fillId="8" borderId="30" xfId="0" applyFont="1" applyFill="1" applyBorder="1" applyAlignment="1">
      <alignment horizontal="center" vertical="center"/>
    </xf>
    <xf numFmtId="0" fontId="34" fillId="8" borderId="1" xfId="0" applyFont="1" applyFill="1" applyBorder="1" applyAlignment="1">
      <alignment horizontal="center" vertical="center"/>
    </xf>
    <xf numFmtId="0" fontId="34" fillId="8" borderId="36" xfId="0" applyFont="1" applyFill="1" applyBorder="1" applyAlignment="1">
      <alignment horizontal="left" vertical="center" indent="1"/>
    </xf>
    <xf numFmtId="0" fontId="34" fillId="8" borderId="0" xfId="0" applyFont="1" applyFill="1" applyAlignment="1">
      <alignment horizontal="left" vertical="center" indent="1"/>
    </xf>
    <xf numFmtId="0" fontId="5" fillId="0" borderId="0" xfId="0" applyFont="1" applyAlignment="1">
      <alignment horizontal="center" vertical="center" textRotation="90"/>
    </xf>
    <xf numFmtId="38" fontId="5" fillId="10" borderId="9" xfId="8" applyNumberFormat="1" applyFont="1" applyFill="1" applyAlignment="1">
      <alignment horizontal="left" vertical="top"/>
    </xf>
    <xf numFmtId="0" fontId="5" fillId="0" borderId="1" xfId="0" applyFont="1" applyBorder="1" applyAlignment="1">
      <alignment horizontal="center" vertical="center" textRotation="90"/>
    </xf>
    <xf numFmtId="0" fontId="18" fillId="8" borderId="1" xfId="0" applyFont="1" applyFill="1" applyBorder="1" applyAlignment="1">
      <alignment horizontal="left" vertical="center" indent="1"/>
    </xf>
    <xf numFmtId="0" fontId="18" fillId="8" borderId="0" xfId="0" applyFont="1" applyFill="1" applyAlignment="1">
      <alignment horizontal="center" vertical="center"/>
    </xf>
    <xf numFmtId="0" fontId="18" fillId="8" borderId="1" xfId="0" applyFont="1" applyFill="1" applyBorder="1" applyAlignment="1">
      <alignment horizontal="center" vertical="center"/>
    </xf>
    <xf numFmtId="0" fontId="24" fillId="8" borderId="0" xfId="0" applyFont="1" applyFill="1" applyAlignment="1">
      <alignment horizontal="center" vertical="center" textRotation="90"/>
    </xf>
    <xf numFmtId="0" fontId="24" fillId="8" borderId="0" xfId="0" applyFont="1" applyFill="1" applyAlignment="1">
      <alignment horizontal="right" vertical="center" textRotation="90"/>
    </xf>
  </cellXfs>
  <cellStyles count="16">
    <cellStyle name="amount" xfId="10" xr:uid="{BFF93BC0-0C83-44DE-BC10-615ABADCDD29}"/>
    <cellStyle name="Comma" xfId="12" builtinId="3"/>
    <cellStyle name="Currency" xfId="1" builtinId="4"/>
    <cellStyle name="header" xfId="7" xr:uid="{30910ED0-825C-4719-9207-C67E1B2B56D1}"/>
    <cellStyle name="Header Total_Cash Flow Forecast, 12 Months" xfId="11" xr:uid="{DEB52759-DB3C-4285-8B6E-761F4F4D5186}"/>
    <cellStyle name="Header1" xfId="8" xr:uid="{AC3C03D4-F51A-4319-B856-006B6F27C233}"/>
    <cellStyle name="Header3" xfId="9" xr:uid="{69D02B18-A0DA-4A6B-BC29-BBD69A69E995}"/>
    <cellStyle name="Heading 1" xfId="4" builtinId="16" customBuiltin="1"/>
    <cellStyle name="Heading 2" xfId="5" builtinId="17" customBuiltin="1"/>
    <cellStyle name="Hyperlink" xfId="15" builtinId="8"/>
    <cellStyle name="Input" xfId="3" builtinId="20"/>
    <cellStyle name="Normal" xfId="0" builtinId="0"/>
    <cellStyle name="Normal 2" xfId="6" xr:uid="{3BCFF0C4-9BC6-4648-A7CE-09D3328DBEC7}"/>
    <cellStyle name="Normal 2 2" xfId="14" xr:uid="{BC5404E4-6070-433B-AE22-3BCDF84BE47D}"/>
    <cellStyle name="Normal 2_Cash Flow Forecast, 12 Months" xfId="13" xr:uid="{2DA9C221-0B0F-4895-B4B2-40C8D648E17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Net Income to Occupied Beds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Breakeven!$C$12</c:f>
              <c:strCache>
                <c:ptCount val="1"/>
                <c:pt idx="0">
                  <c:v>Monthly Net Income</c:v>
                </c:pt>
              </c:strCache>
            </c:strRef>
          </c:tx>
          <c:spPr>
            <a:ln w="28575" cap="rnd">
              <a:solidFill>
                <a:schemeClr val="accent1"/>
              </a:solidFill>
              <a:round/>
            </a:ln>
            <a:effectLst/>
          </c:spPr>
          <c:marker>
            <c:symbol val="none"/>
          </c:marker>
          <c:cat>
            <c:numRef>
              <c:f>Breakeven!$B$13:$B$29</c:f>
              <c:numCache>
                <c:formatCode>General</c:formatCode>
                <c:ptCount val="17"/>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numCache>
            </c:numRef>
          </c:cat>
          <c:val>
            <c:numRef>
              <c:f>Breakeven!$C$13:$C$29</c:f>
              <c:numCache>
                <c:formatCode>_("$"* #,##0_);_("$"* \(#,##0\);_("$"* "-"??_);_(@_)</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00CD-4C73-95F9-B6EFF3B5F698}"/>
            </c:ext>
          </c:extLst>
        </c:ser>
        <c:dLbls>
          <c:showLegendKey val="0"/>
          <c:showVal val="0"/>
          <c:showCatName val="0"/>
          <c:showSerName val="0"/>
          <c:showPercent val="0"/>
          <c:showBubbleSize val="0"/>
        </c:dLbls>
        <c:smooth val="0"/>
        <c:axId val="520592127"/>
        <c:axId val="1674784911"/>
      </c:lineChart>
      <c:catAx>
        <c:axId val="52059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4784911"/>
        <c:crosses val="autoZero"/>
        <c:auto val="1"/>
        <c:lblAlgn val="ctr"/>
        <c:lblOffset val="100"/>
        <c:noMultiLvlLbl val="0"/>
      </c:catAx>
      <c:valAx>
        <c:axId val="167478491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059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431662</xdr:colOff>
      <xdr:row>11</xdr:row>
      <xdr:rowOff>240334</xdr:rowOff>
    </xdr:from>
    <xdr:to>
      <xdr:col>11</xdr:col>
      <xdr:colOff>298174</xdr:colOff>
      <xdr:row>28</xdr:row>
      <xdr:rowOff>33130</xdr:rowOff>
    </xdr:to>
    <xdr:graphicFrame macro="">
      <xdr:nvGraphicFramePr>
        <xdr:cNvPr id="3" name="Chart 2">
          <a:extLst>
            <a:ext uri="{FF2B5EF4-FFF2-40B4-BE49-F238E27FC236}">
              <a16:creationId xmlns:a16="http://schemas.microsoft.com/office/drawing/2014/main" id="{6915CEEF-104A-5A80-7A77-DEC5E059D2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nowledge.vanderburghcommunities.com/potential-site-analys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F711A-D357-4992-8424-655BCE30889A}">
  <sheetPr>
    <pageSetUpPr fitToPage="1"/>
  </sheetPr>
  <dimension ref="A1:AE127"/>
  <sheetViews>
    <sheetView tabSelected="1" zoomScale="145" zoomScaleNormal="145" workbookViewId="0">
      <selection activeCell="E11" sqref="E11:O11"/>
    </sheetView>
  </sheetViews>
  <sheetFormatPr defaultColWidth="8.7265625" defaultRowHeight="14.5" x14ac:dyDescent="0.35"/>
  <cols>
    <col min="1" max="1" width="4.54296875" style="12" customWidth="1"/>
    <col min="2" max="2" width="10.26953125" style="1" customWidth="1"/>
    <col min="3" max="3" width="10.453125" style="1" customWidth="1"/>
    <col min="4" max="5" width="11.1796875" style="1" customWidth="1"/>
    <col min="6" max="6" width="8.453125" style="1" customWidth="1"/>
    <col min="7" max="7" width="7.81640625" style="1" customWidth="1"/>
    <col min="8" max="8" width="8.1796875" style="12" customWidth="1"/>
    <col min="9" max="9" width="5.7265625" style="12" customWidth="1"/>
    <col min="10" max="10" width="2.81640625" style="12" customWidth="1"/>
    <col min="11" max="11" width="9.7265625" style="39" customWidth="1"/>
    <col min="12" max="12" width="2.453125" style="12" customWidth="1"/>
    <col min="13" max="13" width="10.54296875" style="1" customWidth="1"/>
    <col min="14" max="14" width="13.54296875" style="1" customWidth="1"/>
    <col min="15" max="15" width="9.1796875" style="1" customWidth="1"/>
    <col min="16" max="16" width="11.7265625" style="171" customWidth="1"/>
    <col min="17" max="18" width="8.7265625" style="1"/>
    <col min="19" max="19" width="15" style="1" customWidth="1"/>
    <col min="20" max="20" width="8.7265625" style="1"/>
    <col min="21" max="31" width="8.7265625" style="12"/>
    <col min="32" max="16384" width="8.7265625" style="1"/>
  </cols>
  <sheetData>
    <row r="1" spans="1:25" s="38" customFormat="1" ht="30" customHeight="1" x14ac:dyDescent="0.35">
      <c r="A1" s="35" t="str">
        <f>D8</f>
        <v>12 Sample Street, Anytown, MA</v>
      </c>
      <c r="B1" s="35"/>
      <c r="C1" s="35"/>
      <c r="D1" s="35"/>
      <c r="E1" s="35"/>
      <c r="F1" s="35"/>
      <c r="H1" s="35" t="s">
        <v>0</v>
      </c>
    </row>
    <row r="2" spans="1:25" s="12" customFormat="1" ht="3.65" customHeight="1" x14ac:dyDescent="0.35">
      <c r="A2" s="123"/>
      <c r="B2" s="222"/>
      <c r="R2" s="38"/>
      <c r="S2" s="38"/>
      <c r="T2" s="38"/>
      <c r="U2" s="38"/>
      <c r="V2" s="38"/>
      <c r="W2" s="38"/>
    </row>
    <row r="3" spans="1:25" s="38" customFormat="1" ht="24.65" customHeight="1" x14ac:dyDescent="0.35">
      <c r="A3" s="342" t="s">
        <v>236</v>
      </c>
      <c r="B3" s="343"/>
      <c r="C3" s="343"/>
      <c r="D3" s="343"/>
      <c r="E3" s="343"/>
      <c r="F3" s="343"/>
      <c r="G3" s="343"/>
      <c r="H3" s="343"/>
      <c r="I3" s="343"/>
      <c r="J3" s="343"/>
      <c r="K3" s="343"/>
      <c r="L3" s="343"/>
      <c r="M3" s="343"/>
      <c r="N3" s="343"/>
      <c r="O3" s="344"/>
      <c r="P3" s="172"/>
    </row>
    <row r="4" spans="1:25" s="38" customFormat="1" ht="24.65" customHeight="1" x14ac:dyDescent="0.35">
      <c r="A4" s="345"/>
      <c r="B4" s="346"/>
      <c r="C4" s="346"/>
      <c r="D4" s="346"/>
      <c r="E4" s="346"/>
      <c r="F4" s="346"/>
      <c r="G4" s="346"/>
      <c r="H4" s="346"/>
      <c r="I4" s="346"/>
      <c r="J4" s="346"/>
      <c r="K4" s="346"/>
      <c r="L4" s="346"/>
      <c r="M4" s="346"/>
      <c r="N4" s="346"/>
      <c r="O4" s="347"/>
      <c r="P4" s="172"/>
    </row>
    <row r="5" spans="1:25" s="249" customFormat="1" ht="22.5" customHeight="1" x14ac:dyDescent="0.35">
      <c r="A5" s="348" t="s">
        <v>1</v>
      </c>
      <c r="B5" s="349"/>
      <c r="C5" s="349"/>
      <c r="D5" s="349"/>
      <c r="E5" s="349"/>
      <c r="F5" s="349"/>
      <c r="G5" s="349"/>
      <c r="H5" s="349"/>
      <c r="I5" s="349"/>
      <c r="J5" s="349"/>
      <c r="K5" s="349"/>
      <c r="L5" s="349"/>
      <c r="M5" s="349"/>
      <c r="N5" s="349"/>
      <c r="O5" s="350"/>
      <c r="P5" s="248"/>
    </row>
    <row r="6" spans="1:25" s="40" customFormat="1" ht="9.65" customHeight="1" thickBot="1" x14ac:dyDescent="0.4">
      <c r="A6" s="124"/>
      <c r="B6" s="223"/>
      <c r="R6" s="41"/>
      <c r="S6" s="41"/>
      <c r="T6" s="41"/>
      <c r="U6" s="41"/>
      <c r="V6" s="41"/>
      <c r="W6" s="41"/>
    </row>
    <row r="7" spans="1:25" s="48" customFormat="1" ht="27.65" customHeight="1" x14ac:dyDescent="0.35">
      <c r="A7" s="125" t="s">
        <v>2</v>
      </c>
      <c r="B7" s="46"/>
      <c r="C7" s="135"/>
      <c r="D7" s="136"/>
      <c r="E7" s="136"/>
      <c r="F7" s="126"/>
      <c r="G7" s="127"/>
      <c r="H7" s="47"/>
      <c r="I7" s="47"/>
      <c r="J7" s="47"/>
      <c r="K7" s="47"/>
      <c r="L7" s="47"/>
      <c r="M7" s="47"/>
      <c r="N7" s="47"/>
      <c r="O7" s="47"/>
      <c r="P7" s="47"/>
      <c r="Q7" s="47"/>
      <c r="R7" s="47"/>
      <c r="S7" s="47"/>
      <c r="T7" s="47"/>
      <c r="U7" s="47"/>
      <c r="V7" s="47"/>
      <c r="W7" s="47"/>
      <c r="X7" s="47"/>
      <c r="Y7" s="47"/>
    </row>
    <row r="8" spans="1:25" s="138" customFormat="1" ht="20.149999999999999" customHeight="1" thickBot="1" x14ac:dyDescent="0.4">
      <c r="A8" s="123" t="s">
        <v>3</v>
      </c>
      <c r="B8" s="222"/>
      <c r="C8" s="8"/>
      <c r="D8" s="352" t="s">
        <v>4</v>
      </c>
      <c r="E8" s="353"/>
      <c r="F8" s="353"/>
      <c r="G8" s="353"/>
      <c r="H8" s="353"/>
      <c r="I8" s="353"/>
      <c r="J8" s="353"/>
      <c r="K8" s="353"/>
      <c r="L8" s="353"/>
      <c r="M8" s="353"/>
      <c r="N8" s="353"/>
      <c r="O8" s="354"/>
      <c r="P8" s="172"/>
      <c r="Q8" s="38"/>
      <c r="R8" s="38"/>
      <c r="S8" s="38"/>
      <c r="T8" s="38"/>
      <c r="U8" s="38"/>
      <c r="V8" s="38"/>
      <c r="W8" s="38"/>
    </row>
    <row r="9" spans="1:25" s="12" customFormat="1" ht="20.149999999999999" customHeight="1" x14ac:dyDescent="0.35">
      <c r="A9" s="123" t="s">
        <v>237</v>
      </c>
      <c r="B9" s="222"/>
      <c r="C9" s="8"/>
      <c r="D9" s="133">
        <v>0.14000000000000001</v>
      </c>
      <c r="E9" s="322" t="s">
        <v>5</v>
      </c>
      <c r="F9" s="323"/>
      <c r="G9" s="323"/>
      <c r="H9" s="323"/>
      <c r="I9" s="323"/>
      <c r="J9" s="323"/>
      <c r="K9" s="323"/>
      <c r="L9" s="323"/>
      <c r="M9" s="323"/>
      <c r="N9" s="323"/>
      <c r="O9" s="324"/>
      <c r="P9" s="172"/>
      <c r="Q9" s="38"/>
      <c r="R9" s="38"/>
      <c r="S9" s="38"/>
      <c r="T9" s="38"/>
      <c r="U9" s="38"/>
      <c r="V9" s="38"/>
      <c r="W9" s="38"/>
    </row>
    <row r="10" spans="1:25" s="12" customFormat="1" ht="20.149999999999999" customHeight="1" x14ac:dyDescent="0.35">
      <c r="A10" s="123" t="s">
        <v>6</v>
      </c>
      <c r="B10" s="222"/>
      <c r="D10" s="130">
        <v>200</v>
      </c>
      <c r="E10" s="322" t="s">
        <v>7</v>
      </c>
      <c r="F10" s="323"/>
      <c r="G10" s="323"/>
      <c r="H10" s="323"/>
      <c r="I10" s="323"/>
      <c r="J10" s="323"/>
      <c r="K10" s="323"/>
      <c r="L10" s="323"/>
      <c r="M10" s="323"/>
      <c r="N10" s="323"/>
      <c r="O10" s="324"/>
      <c r="P10" s="172"/>
      <c r="Q10" s="38"/>
      <c r="R10" s="38"/>
      <c r="S10" s="38"/>
      <c r="T10" s="38"/>
      <c r="U10" s="38"/>
      <c r="V10" s="38"/>
      <c r="W10" s="38"/>
    </row>
    <row r="11" spans="1:25" s="12" customFormat="1" ht="20.149999999999999" customHeight="1" x14ac:dyDescent="0.35">
      <c r="A11" s="123" t="s">
        <v>238</v>
      </c>
      <c r="B11" s="29"/>
      <c r="C11" s="122"/>
      <c r="D11" s="294">
        <v>1</v>
      </c>
      <c r="E11" s="322" t="s">
        <v>241</v>
      </c>
      <c r="F11" s="323"/>
      <c r="G11" s="323"/>
      <c r="H11" s="323"/>
      <c r="I11" s="323"/>
      <c r="J11" s="323"/>
      <c r="K11" s="323"/>
      <c r="L11" s="323"/>
      <c r="M11" s="323"/>
      <c r="N11" s="323"/>
      <c r="O11" s="324"/>
      <c r="P11" s="172"/>
      <c r="Q11" s="38"/>
    </row>
    <row r="12" spans="1:25" s="12" customFormat="1" ht="20.149999999999999" customHeight="1" x14ac:dyDescent="0.35">
      <c r="A12" s="123" t="s">
        <v>9</v>
      </c>
      <c r="B12" s="29"/>
      <c r="D12" s="256" t="s">
        <v>10</v>
      </c>
      <c r="E12" s="322" t="s">
        <v>240</v>
      </c>
      <c r="F12" s="323"/>
      <c r="G12" s="323"/>
      <c r="H12" s="323"/>
      <c r="I12" s="323"/>
      <c r="J12" s="323"/>
      <c r="K12" s="323"/>
      <c r="L12" s="323"/>
      <c r="M12" s="323"/>
      <c r="N12" s="323"/>
      <c r="O12" s="324"/>
      <c r="P12" s="172"/>
      <c r="Q12" s="38"/>
    </row>
    <row r="13" spans="1:25" s="12" customFormat="1" ht="20.149999999999999" customHeight="1" x14ac:dyDescent="0.35">
      <c r="A13" s="128" t="s">
        <v>11</v>
      </c>
      <c r="B13" s="257"/>
      <c r="C13" s="31"/>
      <c r="D13" s="129">
        <v>0</v>
      </c>
      <c r="E13" s="325" t="s">
        <v>239</v>
      </c>
      <c r="F13" s="326"/>
      <c r="G13" s="326"/>
      <c r="H13" s="326"/>
      <c r="I13" s="326"/>
      <c r="J13" s="326"/>
      <c r="K13" s="326"/>
      <c r="L13" s="326"/>
      <c r="M13" s="326"/>
      <c r="N13" s="326"/>
      <c r="O13" s="327"/>
      <c r="P13" s="38"/>
      <c r="Q13" s="38"/>
      <c r="R13" s="38"/>
      <c r="S13" s="38"/>
      <c r="T13" s="38"/>
      <c r="U13" s="38"/>
      <c r="V13" s="38"/>
      <c r="W13" s="38"/>
    </row>
    <row r="14" spans="1:25" s="40" customFormat="1" ht="9.65" customHeight="1" thickBot="1" x14ac:dyDescent="0.4">
      <c r="A14" s="124"/>
      <c r="B14" s="223"/>
      <c r="R14" s="41"/>
      <c r="S14" s="41"/>
      <c r="T14" s="41"/>
      <c r="U14" s="41"/>
      <c r="V14" s="41"/>
      <c r="W14" s="41"/>
    </row>
    <row r="15" spans="1:25" s="48" customFormat="1" ht="27.65" customHeight="1" x14ac:dyDescent="0.35">
      <c r="A15" s="125" t="s">
        <v>12</v>
      </c>
      <c r="B15" s="46"/>
      <c r="C15" s="135"/>
      <c r="D15" s="136" t="s">
        <v>13</v>
      </c>
      <c r="E15" s="136" t="s">
        <v>14</v>
      </c>
      <c r="F15" s="126"/>
      <c r="G15" s="127"/>
      <c r="H15" s="47"/>
      <c r="I15" s="47"/>
      <c r="J15" s="47"/>
      <c r="K15" s="47"/>
      <c r="L15" s="47"/>
      <c r="M15" s="47"/>
      <c r="N15" s="47"/>
      <c r="O15" s="47"/>
      <c r="P15" s="47"/>
      <c r="Q15" s="47"/>
      <c r="R15" s="47"/>
      <c r="S15" s="47"/>
      <c r="T15" s="47"/>
      <c r="U15" s="47"/>
      <c r="V15" s="47"/>
      <c r="W15" s="47"/>
      <c r="X15" s="47"/>
    </row>
    <row r="16" spans="1:25" s="141" customFormat="1" ht="20.5" customHeight="1" x14ac:dyDescent="0.35">
      <c r="A16" s="139" t="s">
        <v>15</v>
      </c>
      <c r="B16" s="140"/>
      <c r="C16" s="140"/>
      <c r="D16" s="137">
        <v>0</v>
      </c>
      <c r="E16" s="137">
        <v>0</v>
      </c>
      <c r="F16" s="322" t="s">
        <v>16</v>
      </c>
      <c r="G16" s="323"/>
      <c r="H16" s="323"/>
      <c r="I16" s="323"/>
      <c r="J16" s="323"/>
      <c r="K16" s="323"/>
      <c r="L16" s="323"/>
      <c r="M16" s="323"/>
      <c r="N16" s="323"/>
      <c r="O16" s="324"/>
      <c r="P16" s="172"/>
      <c r="Q16" s="38"/>
      <c r="R16" s="38"/>
      <c r="S16" s="38"/>
      <c r="T16" s="38"/>
      <c r="U16" s="38"/>
      <c r="V16" s="38"/>
      <c r="W16" s="38"/>
      <c r="X16" s="251"/>
    </row>
    <row r="17" spans="1:25" s="141" customFormat="1" ht="17.149999999999999" customHeight="1" x14ac:dyDescent="0.35">
      <c r="A17" s="123" t="s">
        <v>17</v>
      </c>
      <c r="B17" s="9"/>
      <c r="C17" s="255"/>
      <c r="D17" s="252"/>
      <c r="E17" s="142"/>
      <c r="F17" s="328" t="s">
        <v>242</v>
      </c>
      <c r="G17" s="329"/>
      <c r="H17" s="329"/>
      <c r="I17" s="329"/>
      <c r="J17" s="329"/>
      <c r="K17" s="329"/>
      <c r="L17" s="329"/>
      <c r="M17" s="329"/>
      <c r="N17" s="329"/>
      <c r="O17" s="330"/>
      <c r="P17" s="172"/>
      <c r="Q17" s="38"/>
      <c r="R17" s="38"/>
      <c r="S17" s="38"/>
      <c r="T17" s="38"/>
      <c r="U17" s="38"/>
      <c r="V17" s="38"/>
      <c r="W17" s="38"/>
    </row>
    <row r="18" spans="1:25" s="141" customFormat="1" ht="17.149999999999999" customHeight="1" x14ac:dyDescent="0.35">
      <c r="A18" s="123" t="s">
        <v>18</v>
      </c>
      <c r="B18" s="9"/>
      <c r="C18" s="254"/>
      <c r="D18" s="252"/>
      <c r="E18" s="142"/>
      <c r="F18" s="331"/>
      <c r="G18" s="332"/>
      <c r="H18" s="332"/>
      <c r="I18" s="332"/>
      <c r="J18" s="332"/>
      <c r="K18" s="332"/>
      <c r="L18" s="332"/>
      <c r="M18" s="332"/>
      <c r="N18" s="332"/>
      <c r="O18" s="333"/>
      <c r="P18" s="172"/>
      <c r="Q18" s="38"/>
      <c r="R18" s="38"/>
      <c r="S18" s="38"/>
      <c r="T18" s="38"/>
      <c r="U18" s="38"/>
      <c r="V18" s="38"/>
      <c r="W18" s="38"/>
    </row>
    <row r="19" spans="1:25" s="141" customFormat="1" ht="17.149999999999999" customHeight="1" x14ac:dyDescent="0.35">
      <c r="A19" s="123" t="s">
        <v>19</v>
      </c>
      <c r="B19" s="9"/>
      <c r="C19" s="254"/>
      <c r="D19" s="252"/>
      <c r="E19" s="142"/>
      <c r="F19" s="331"/>
      <c r="G19" s="332"/>
      <c r="H19" s="332"/>
      <c r="I19" s="332"/>
      <c r="J19" s="332"/>
      <c r="K19" s="332"/>
      <c r="L19" s="332"/>
      <c r="M19" s="332"/>
      <c r="N19" s="332"/>
      <c r="O19" s="333"/>
      <c r="P19" s="172"/>
      <c r="Q19" s="38"/>
      <c r="R19" s="38"/>
      <c r="S19" s="38"/>
      <c r="T19" s="38"/>
      <c r="U19" s="38"/>
      <c r="V19" s="38"/>
      <c r="W19" s="38"/>
    </row>
    <row r="20" spans="1:25" s="141" customFormat="1" ht="17.149999999999999" customHeight="1" x14ac:dyDescent="0.35">
      <c r="A20" s="123" t="s">
        <v>20</v>
      </c>
      <c r="B20" s="9"/>
      <c r="C20" s="254"/>
      <c r="D20" s="252"/>
      <c r="E20" s="142"/>
      <c r="F20" s="334"/>
      <c r="G20" s="335"/>
      <c r="H20" s="335"/>
      <c r="I20" s="335"/>
      <c r="J20" s="335"/>
      <c r="K20" s="335"/>
      <c r="L20" s="335"/>
      <c r="M20" s="335"/>
      <c r="N20" s="335"/>
      <c r="O20" s="336"/>
      <c r="P20" s="172"/>
      <c r="Q20" s="38"/>
      <c r="R20" s="38"/>
      <c r="S20" s="38"/>
      <c r="T20" s="38"/>
      <c r="U20" s="38"/>
      <c r="V20" s="38"/>
      <c r="W20" s="38"/>
    </row>
    <row r="21" spans="1:25" s="144" customFormat="1" ht="17.149999999999999" customHeight="1" thickBot="1" x14ac:dyDescent="0.4">
      <c r="A21" s="253" t="s">
        <v>21</v>
      </c>
      <c r="B21" s="143"/>
      <c r="D21" s="145">
        <f>SUM(D17:D20)</f>
        <v>0</v>
      </c>
      <c r="E21" s="250">
        <f>SUM(E17:E20)</f>
        <v>0</v>
      </c>
      <c r="F21" s="146"/>
      <c r="G21" s="146"/>
      <c r="H21" s="146"/>
      <c r="I21" s="146"/>
      <c r="J21" s="146"/>
      <c r="K21" s="146"/>
      <c r="L21" s="146"/>
      <c r="M21" s="146"/>
      <c r="N21" s="146"/>
      <c r="O21" s="146"/>
      <c r="P21" s="172"/>
      <c r="Q21" s="38"/>
      <c r="R21" s="38"/>
      <c r="S21" s="38"/>
      <c r="T21" s="38"/>
      <c r="U21" s="38"/>
      <c r="V21" s="38"/>
      <c r="W21" s="38"/>
    </row>
    <row r="22" spans="1:25" s="40" customFormat="1" ht="9.65" customHeight="1" thickBot="1" x14ac:dyDescent="0.4">
      <c r="A22" s="124"/>
      <c r="B22" s="223"/>
      <c r="R22" s="41"/>
      <c r="S22" s="41"/>
      <c r="T22" s="41"/>
      <c r="U22" s="41"/>
      <c r="V22" s="41"/>
      <c r="W22" s="41"/>
    </row>
    <row r="23" spans="1:25" s="163" customFormat="1" ht="27.65" customHeight="1" x14ac:dyDescent="0.35">
      <c r="A23" s="125" t="s">
        <v>22</v>
      </c>
      <c r="B23" s="160"/>
      <c r="C23" s="160"/>
      <c r="D23" s="161"/>
      <c r="E23" s="161"/>
      <c r="F23" s="127"/>
      <c r="G23" s="162"/>
      <c r="H23" s="161"/>
      <c r="I23" s="161"/>
      <c r="J23" s="161"/>
      <c r="K23" s="161"/>
      <c r="L23" s="161"/>
      <c r="M23" s="161"/>
      <c r="N23" s="161"/>
      <c r="O23" s="161"/>
      <c r="P23" s="161"/>
      <c r="Q23" s="161"/>
      <c r="R23" s="161"/>
      <c r="S23" s="161"/>
      <c r="T23" s="161"/>
      <c r="U23" s="161"/>
      <c r="V23" s="161"/>
      <c r="W23" s="161"/>
      <c r="X23" s="161"/>
      <c r="Y23" s="161"/>
    </row>
    <row r="24" spans="1:25" s="226" customFormat="1" ht="21" customHeight="1" x14ac:dyDescent="0.35">
      <c r="A24" s="224" t="s">
        <v>23</v>
      </c>
      <c r="B24" s="225"/>
      <c r="D24" s="229"/>
      <c r="E24" s="314" t="s">
        <v>25</v>
      </c>
      <c r="F24" s="314"/>
      <c r="G24" s="314"/>
      <c r="H24" s="314"/>
      <c r="I24" s="314"/>
      <c r="J24" s="314"/>
      <c r="K24" s="314"/>
      <c r="L24" s="314"/>
      <c r="M24" s="314"/>
      <c r="N24" s="314"/>
      <c r="O24" s="314"/>
      <c r="P24" s="227"/>
      <c r="Q24" s="228"/>
      <c r="R24" s="228"/>
      <c r="S24" s="228"/>
      <c r="T24" s="228"/>
      <c r="U24" s="228"/>
      <c r="V24" s="228"/>
      <c r="W24" s="228"/>
    </row>
    <row r="25" spans="1:25" s="144" customFormat="1" ht="17.149999999999999" customHeight="1" thickBot="1" x14ac:dyDescent="0.4">
      <c r="A25" s="150"/>
      <c r="B25" s="320" t="s">
        <v>244</v>
      </c>
      <c r="C25" s="321"/>
      <c r="D25" s="157">
        <v>0</v>
      </c>
      <c r="E25" s="314"/>
      <c r="F25" s="314"/>
      <c r="G25" s="314"/>
      <c r="H25" s="314"/>
      <c r="I25" s="314"/>
      <c r="J25" s="314"/>
      <c r="K25" s="314"/>
      <c r="L25" s="314"/>
      <c r="M25" s="314"/>
      <c r="N25" s="314"/>
      <c r="O25" s="314"/>
      <c r="P25" s="172"/>
      <c r="Q25" s="38"/>
      <c r="R25" s="38"/>
      <c r="S25" s="38"/>
      <c r="T25" s="38"/>
      <c r="U25" s="38"/>
      <c r="V25" s="38"/>
      <c r="W25" s="38"/>
    </row>
    <row r="26" spans="1:25" s="144" customFormat="1" ht="8.15" customHeight="1" thickBot="1" x14ac:dyDescent="0.4">
      <c r="A26" s="155"/>
      <c r="B26" s="155"/>
      <c r="C26" s="155"/>
      <c r="D26" s="155"/>
      <c r="E26" s="315"/>
      <c r="F26" s="315"/>
      <c r="G26" s="315"/>
      <c r="H26" s="315"/>
      <c r="I26" s="315"/>
      <c r="J26" s="315"/>
      <c r="K26" s="315"/>
      <c r="L26" s="315"/>
      <c r="M26" s="315"/>
      <c r="N26" s="315"/>
      <c r="O26" s="315"/>
      <c r="P26" s="172"/>
      <c r="Q26" s="38"/>
      <c r="R26" s="38"/>
      <c r="S26" s="38"/>
      <c r="T26" s="38"/>
      <c r="U26" s="38"/>
      <c r="V26" s="38"/>
      <c r="W26" s="38"/>
    </row>
    <row r="27" spans="1:25" s="226" customFormat="1" ht="21" customHeight="1" x14ac:dyDescent="0.35">
      <c r="A27" s="224" t="s">
        <v>26</v>
      </c>
      <c r="B27" s="225"/>
      <c r="D27" s="229" t="s">
        <v>24</v>
      </c>
      <c r="E27" s="314" t="s">
        <v>27</v>
      </c>
      <c r="F27" s="314"/>
      <c r="G27" s="314"/>
      <c r="H27" s="314"/>
      <c r="I27" s="314"/>
      <c r="J27" s="314"/>
      <c r="K27" s="314"/>
      <c r="L27" s="314"/>
      <c r="M27" s="314"/>
      <c r="N27" s="314"/>
      <c r="O27" s="314"/>
      <c r="P27" s="227"/>
      <c r="Q27" s="228"/>
      <c r="R27" s="228"/>
      <c r="S27" s="228"/>
      <c r="T27" s="228"/>
      <c r="U27" s="228"/>
      <c r="V27" s="228"/>
      <c r="W27" s="228"/>
    </row>
    <row r="28" spans="1:25" s="149" customFormat="1" ht="15.65" customHeight="1" x14ac:dyDescent="0.35">
      <c r="A28" s="150"/>
      <c r="B28" s="154" t="s">
        <v>28</v>
      </c>
      <c r="C28" s="154" t="s">
        <v>29</v>
      </c>
      <c r="D28" s="153" t="s">
        <v>243</v>
      </c>
      <c r="E28" s="314"/>
      <c r="F28" s="314"/>
      <c r="G28" s="314"/>
      <c r="H28" s="314"/>
      <c r="I28" s="314"/>
      <c r="J28" s="314"/>
      <c r="K28" s="314"/>
      <c r="L28" s="314"/>
      <c r="M28" s="314"/>
      <c r="N28" s="314"/>
      <c r="O28" s="314"/>
      <c r="P28" s="172"/>
      <c r="Q28" s="38"/>
      <c r="R28" s="38"/>
      <c r="S28" s="38"/>
      <c r="T28" s="38"/>
      <c r="U28" s="38"/>
      <c r="V28" s="38"/>
      <c r="W28" s="38"/>
    </row>
    <row r="29" spans="1:25" s="144" customFormat="1" ht="17.149999999999999" customHeight="1" thickBot="1" x14ac:dyDescent="0.4">
      <c r="A29" s="156"/>
      <c r="B29" s="158">
        <f>D13*1.52/12*0.9*1.5</f>
        <v>0</v>
      </c>
      <c r="C29" s="158">
        <f>D13*1.53/12*1.1*1.5</f>
        <v>0</v>
      </c>
      <c r="D29" s="157">
        <v>0</v>
      </c>
      <c r="E29" s="314"/>
      <c r="F29" s="314"/>
      <c r="G29" s="314"/>
      <c r="H29" s="314"/>
      <c r="I29" s="314"/>
      <c r="J29" s="314"/>
      <c r="K29" s="314"/>
      <c r="L29" s="314"/>
      <c r="M29" s="314"/>
      <c r="N29" s="314"/>
      <c r="O29" s="314"/>
      <c r="P29" s="172"/>
      <c r="Q29" s="38"/>
      <c r="R29" s="38"/>
      <c r="S29" s="38"/>
      <c r="T29" s="38"/>
      <c r="U29" s="38"/>
      <c r="V29" s="38"/>
      <c r="W29" s="38"/>
    </row>
    <row r="30" spans="1:25" s="144" customFormat="1" ht="8.15" customHeight="1" thickBot="1" x14ac:dyDescent="0.4">
      <c r="A30" s="155"/>
      <c r="B30" s="155"/>
      <c r="C30" s="155"/>
      <c r="D30" s="155"/>
      <c r="E30" s="315"/>
      <c r="F30" s="315"/>
      <c r="G30" s="315"/>
      <c r="H30" s="315"/>
      <c r="I30" s="315"/>
      <c r="J30" s="315"/>
      <c r="K30" s="315"/>
      <c r="L30" s="315"/>
      <c r="M30" s="315"/>
      <c r="N30" s="315"/>
      <c r="O30" s="315"/>
      <c r="P30" s="172"/>
      <c r="Q30" s="38"/>
      <c r="R30" s="38"/>
      <c r="S30" s="38"/>
      <c r="T30" s="38"/>
      <c r="U30" s="38"/>
      <c r="V30" s="38"/>
      <c r="W30" s="38"/>
    </row>
    <row r="31" spans="1:25" s="150" customFormat="1" ht="21" customHeight="1" x14ac:dyDescent="0.35">
      <c r="A31" s="224" t="s">
        <v>30</v>
      </c>
      <c r="B31" s="151"/>
      <c r="D31" s="229" t="s">
        <v>24</v>
      </c>
      <c r="E31" s="313" t="s">
        <v>31</v>
      </c>
      <c r="F31" s="313"/>
      <c r="G31" s="313"/>
      <c r="H31" s="313"/>
      <c r="I31" s="313"/>
      <c r="J31" s="313"/>
      <c r="K31" s="313"/>
      <c r="L31" s="313"/>
      <c r="M31" s="313"/>
      <c r="N31" s="313"/>
      <c r="O31" s="313"/>
      <c r="P31" s="172"/>
      <c r="Q31" s="38"/>
      <c r="R31" s="38"/>
      <c r="S31" s="38"/>
      <c r="T31" s="38"/>
      <c r="U31" s="12"/>
      <c r="V31" s="12"/>
      <c r="W31" s="12"/>
    </row>
    <row r="32" spans="1:25" s="149" customFormat="1" ht="15.65" customHeight="1" x14ac:dyDescent="0.35">
      <c r="A32" s="150"/>
      <c r="B32" s="154" t="s">
        <v>28</v>
      </c>
      <c r="C32" s="154" t="s">
        <v>29</v>
      </c>
      <c r="D32" s="153" t="s">
        <v>243</v>
      </c>
      <c r="E32" s="314"/>
      <c r="F32" s="314"/>
      <c r="G32" s="314"/>
      <c r="H32" s="314"/>
      <c r="I32" s="314"/>
      <c r="J32" s="314"/>
      <c r="K32" s="314"/>
      <c r="L32" s="314"/>
      <c r="M32" s="314"/>
      <c r="N32" s="314"/>
      <c r="O32" s="314"/>
      <c r="P32" s="172"/>
      <c r="Q32" s="38"/>
      <c r="R32" s="38"/>
      <c r="S32" s="38"/>
      <c r="T32" s="38"/>
      <c r="U32" s="38"/>
      <c r="V32" s="38"/>
      <c r="W32" s="38"/>
    </row>
    <row r="33" spans="1:23" s="144" customFormat="1" ht="17.149999999999999" customHeight="1" thickBot="1" x14ac:dyDescent="0.4">
      <c r="A33" s="156"/>
      <c r="B33" s="159">
        <f>D13*1.16/12*0.9*1.5</f>
        <v>0</v>
      </c>
      <c r="C33" s="159">
        <f>D13*1.16/12*1.1*1.5</f>
        <v>0</v>
      </c>
      <c r="D33" s="157">
        <v>0</v>
      </c>
      <c r="E33" s="314"/>
      <c r="F33" s="314"/>
      <c r="G33" s="314"/>
      <c r="H33" s="314"/>
      <c r="I33" s="314"/>
      <c r="J33" s="314"/>
      <c r="K33" s="314"/>
      <c r="L33" s="314"/>
      <c r="M33" s="314"/>
      <c r="N33" s="314"/>
      <c r="O33" s="314"/>
      <c r="P33" s="172"/>
      <c r="Q33" s="38"/>
      <c r="R33" s="38"/>
      <c r="S33" s="38"/>
      <c r="T33" s="38"/>
      <c r="U33" s="38"/>
      <c r="V33" s="38"/>
      <c r="W33" s="38"/>
    </row>
    <row r="34" spans="1:23" s="144" customFormat="1" ht="8.15" customHeight="1" thickBot="1" x14ac:dyDescent="0.4">
      <c r="A34" s="155"/>
      <c r="B34" s="155"/>
      <c r="C34" s="155"/>
      <c r="D34" s="155"/>
      <c r="E34" s="315"/>
      <c r="F34" s="315"/>
      <c r="G34" s="315"/>
      <c r="H34" s="315"/>
      <c r="I34" s="315"/>
      <c r="J34" s="315"/>
      <c r="K34" s="315"/>
      <c r="L34" s="315"/>
      <c r="M34" s="315"/>
      <c r="N34" s="315"/>
      <c r="O34" s="315"/>
      <c r="P34" s="172"/>
      <c r="Q34" s="38"/>
      <c r="R34" s="38"/>
      <c r="S34" s="38"/>
      <c r="T34" s="38"/>
      <c r="U34" s="38"/>
      <c r="V34" s="38"/>
      <c r="W34" s="38"/>
    </row>
    <row r="35" spans="1:23" s="150" customFormat="1" ht="21" customHeight="1" x14ac:dyDescent="0.35">
      <c r="A35" s="224" t="s">
        <v>32</v>
      </c>
      <c r="B35" s="151"/>
      <c r="D35" s="229" t="s">
        <v>24</v>
      </c>
      <c r="E35" s="313" t="s">
        <v>33</v>
      </c>
      <c r="F35" s="313"/>
      <c r="G35" s="313"/>
      <c r="H35" s="313"/>
      <c r="I35" s="313"/>
      <c r="J35" s="313"/>
      <c r="K35" s="313"/>
      <c r="L35" s="313"/>
      <c r="M35" s="313"/>
      <c r="N35" s="313"/>
      <c r="O35" s="313"/>
      <c r="P35" s="172"/>
      <c r="Q35" s="38"/>
      <c r="R35" s="38"/>
      <c r="S35" s="38"/>
      <c r="T35" s="38"/>
      <c r="U35" s="38"/>
      <c r="V35" s="38"/>
      <c r="W35" s="38"/>
    </row>
    <row r="36" spans="1:23" s="149" customFormat="1" ht="15.65" customHeight="1" x14ac:dyDescent="0.35">
      <c r="A36" s="150"/>
      <c r="B36" s="154" t="s">
        <v>28</v>
      </c>
      <c r="C36" s="154" t="s">
        <v>29</v>
      </c>
      <c r="D36" s="153" t="s">
        <v>243</v>
      </c>
      <c r="E36" s="314"/>
      <c r="F36" s="314"/>
      <c r="G36" s="314"/>
      <c r="H36" s="314"/>
      <c r="I36" s="314"/>
      <c r="J36" s="314"/>
      <c r="K36" s="314"/>
      <c r="L36" s="314"/>
      <c r="M36" s="314"/>
      <c r="N36" s="314"/>
      <c r="O36" s="314"/>
      <c r="P36" s="172"/>
      <c r="Q36" s="38"/>
      <c r="R36" s="38"/>
      <c r="S36" s="38"/>
      <c r="T36" s="38"/>
      <c r="U36" s="38"/>
      <c r="V36" s="38"/>
      <c r="W36" s="38"/>
    </row>
    <row r="37" spans="1:23" s="144" customFormat="1" ht="17.149999999999999" customHeight="1" thickBot="1" x14ac:dyDescent="0.4">
      <c r="A37" s="156"/>
      <c r="B37" s="159">
        <f>SUM(D21:E21)*150/12*1.2</f>
        <v>0</v>
      </c>
      <c r="C37" s="159">
        <f>SUM(D21:E21)*200/12*1.2</f>
        <v>0</v>
      </c>
      <c r="D37" s="157">
        <v>0</v>
      </c>
      <c r="E37" s="314"/>
      <c r="F37" s="314"/>
      <c r="G37" s="314"/>
      <c r="H37" s="314"/>
      <c r="I37" s="314"/>
      <c r="J37" s="314"/>
      <c r="K37" s="314"/>
      <c r="L37" s="314"/>
      <c r="M37" s="314"/>
      <c r="N37" s="314"/>
      <c r="O37" s="314"/>
      <c r="P37" s="172"/>
      <c r="Q37" s="38"/>
      <c r="R37" s="38"/>
      <c r="S37" s="38"/>
      <c r="T37" s="38"/>
      <c r="U37" s="38"/>
      <c r="V37" s="38"/>
      <c r="W37" s="38"/>
    </row>
    <row r="38" spans="1:23" s="144" customFormat="1" ht="8.15" customHeight="1" thickBot="1" x14ac:dyDescent="0.4">
      <c r="A38" s="155"/>
      <c r="B38" s="155"/>
      <c r="C38" s="155"/>
      <c r="D38" s="155"/>
      <c r="E38" s="315"/>
      <c r="F38" s="315"/>
      <c r="G38" s="315"/>
      <c r="H38" s="315"/>
      <c r="I38" s="315"/>
      <c r="J38" s="315"/>
      <c r="K38" s="315"/>
      <c r="L38" s="315"/>
      <c r="M38" s="315"/>
      <c r="N38" s="315"/>
      <c r="O38" s="315"/>
      <c r="P38" s="172"/>
      <c r="Q38" s="38"/>
      <c r="R38" s="38"/>
      <c r="S38" s="38"/>
      <c r="T38" s="38"/>
      <c r="U38" s="12"/>
      <c r="V38" s="12"/>
      <c r="W38" s="12"/>
    </row>
    <row r="39" spans="1:23" s="150" customFormat="1" ht="21" customHeight="1" x14ac:dyDescent="0.35">
      <c r="A39" s="224" t="s">
        <v>34</v>
      </c>
      <c r="B39" s="151"/>
      <c r="D39" s="229" t="s">
        <v>24</v>
      </c>
      <c r="E39" s="313" t="s">
        <v>35</v>
      </c>
      <c r="F39" s="313"/>
      <c r="G39" s="313"/>
      <c r="H39" s="313"/>
      <c r="I39" s="313"/>
      <c r="J39" s="313"/>
      <c r="K39" s="313"/>
      <c r="L39" s="313"/>
      <c r="M39" s="313"/>
      <c r="N39" s="313"/>
      <c r="O39" s="313"/>
      <c r="P39" s="172"/>
      <c r="Q39" s="38"/>
      <c r="R39" s="38"/>
      <c r="S39" s="38"/>
      <c r="T39" s="38"/>
      <c r="U39" s="38"/>
      <c r="V39" s="38"/>
      <c r="W39" s="38"/>
    </row>
    <row r="40" spans="1:23" s="149" customFormat="1" ht="15.65" customHeight="1" x14ac:dyDescent="0.35">
      <c r="A40" s="150"/>
      <c r="B40" s="154" t="s">
        <v>28</v>
      </c>
      <c r="C40" s="154" t="s">
        <v>29</v>
      </c>
      <c r="D40" s="153" t="s">
        <v>243</v>
      </c>
      <c r="E40" s="314"/>
      <c r="F40" s="314"/>
      <c r="G40" s="314"/>
      <c r="H40" s="314"/>
      <c r="I40" s="314"/>
      <c r="J40" s="314"/>
      <c r="K40" s="314"/>
      <c r="L40" s="314"/>
      <c r="M40" s="314"/>
      <c r="N40" s="314"/>
      <c r="O40" s="314"/>
      <c r="P40" s="172"/>
      <c r="Q40" s="38"/>
      <c r="R40" s="38"/>
      <c r="S40" s="38"/>
      <c r="T40" s="38"/>
      <c r="U40" s="38"/>
      <c r="V40" s="38"/>
      <c r="W40" s="38"/>
    </row>
    <row r="41" spans="1:23" s="144" customFormat="1" ht="17.149999999999999" customHeight="1" thickBot="1" x14ac:dyDescent="0.4">
      <c r="A41" s="156"/>
      <c r="B41" s="159">
        <f>(E21+D21)*1.5*52/12</f>
        <v>0</v>
      </c>
      <c r="C41" s="159">
        <f>(E21+D21)*2.5*52/12*2</f>
        <v>0</v>
      </c>
      <c r="D41" s="157">
        <v>0</v>
      </c>
      <c r="E41" s="314"/>
      <c r="F41" s="314"/>
      <c r="G41" s="314"/>
      <c r="H41" s="314"/>
      <c r="I41" s="314"/>
      <c r="J41" s="314"/>
      <c r="K41" s="314"/>
      <c r="L41" s="314"/>
      <c r="M41" s="314"/>
      <c r="N41" s="314"/>
      <c r="O41" s="314"/>
      <c r="P41" s="172"/>
      <c r="Q41" s="38"/>
      <c r="R41" s="38"/>
      <c r="S41" s="38"/>
      <c r="T41" s="38"/>
      <c r="U41" s="38"/>
      <c r="V41" s="38"/>
      <c r="W41" s="38"/>
    </row>
    <row r="42" spans="1:23" s="144" customFormat="1" ht="8.15" customHeight="1" thickBot="1" x14ac:dyDescent="0.4">
      <c r="A42" s="155"/>
      <c r="B42" s="155"/>
      <c r="C42" s="155"/>
      <c r="D42" s="155"/>
      <c r="E42" s="315"/>
      <c r="F42" s="315"/>
      <c r="G42" s="315"/>
      <c r="H42" s="315"/>
      <c r="I42" s="315"/>
      <c r="J42" s="315"/>
      <c r="K42" s="315"/>
      <c r="L42" s="315"/>
      <c r="M42" s="315"/>
      <c r="N42" s="315"/>
      <c r="O42" s="315"/>
      <c r="P42" s="172"/>
      <c r="Q42" s="38"/>
      <c r="R42" s="38"/>
      <c r="S42" s="38"/>
      <c r="T42" s="38"/>
      <c r="U42" s="38"/>
      <c r="V42" s="38"/>
      <c r="W42" s="38"/>
    </row>
    <row r="43" spans="1:23" s="150" customFormat="1" ht="21" customHeight="1" x14ac:dyDescent="0.35">
      <c r="A43" s="224" t="s">
        <v>36</v>
      </c>
      <c r="B43" s="151"/>
      <c r="D43" s="229" t="s">
        <v>24</v>
      </c>
      <c r="E43" s="313" t="s">
        <v>272</v>
      </c>
      <c r="F43" s="313"/>
      <c r="G43" s="313"/>
      <c r="H43" s="313"/>
      <c r="I43" s="313"/>
      <c r="J43" s="313"/>
      <c r="K43" s="313"/>
      <c r="L43" s="313"/>
      <c r="M43" s="313"/>
      <c r="N43" s="313"/>
      <c r="O43" s="313"/>
      <c r="P43" s="172"/>
      <c r="Q43" s="38"/>
      <c r="R43" s="38"/>
      <c r="S43" s="38"/>
      <c r="T43" s="38"/>
      <c r="U43" s="38"/>
      <c r="V43" s="38"/>
      <c r="W43" s="38"/>
    </row>
    <row r="44" spans="1:23" s="144" customFormat="1" ht="17.149999999999999" customHeight="1" thickBot="1" x14ac:dyDescent="0.4">
      <c r="A44" s="258"/>
      <c r="B44" s="320" t="s">
        <v>245</v>
      </c>
      <c r="C44" s="321"/>
      <c r="D44" s="157">
        <v>0</v>
      </c>
      <c r="E44" s="314"/>
      <c r="F44" s="314"/>
      <c r="G44" s="314"/>
      <c r="H44" s="314"/>
      <c r="I44" s="314"/>
      <c r="J44" s="314"/>
      <c r="K44" s="314"/>
      <c r="L44" s="314"/>
      <c r="M44" s="314"/>
      <c r="N44" s="314"/>
      <c r="O44" s="314"/>
      <c r="P44" s="172"/>
      <c r="Q44" s="38"/>
      <c r="R44" s="38"/>
      <c r="S44" s="38"/>
      <c r="T44" s="38"/>
      <c r="U44" s="12"/>
      <c r="V44" s="12"/>
      <c r="W44" s="12"/>
    </row>
    <row r="45" spans="1:23" s="144" customFormat="1" ht="8.15" customHeight="1" thickBot="1" x14ac:dyDescent="0.4">
      <c r="A45" s="155"/>
      <c r="B45" s="155"/>
      <c r="C45" s="155"/>
      <c r="D45" s="155"/>
      <c r="E45" s="315"/>
      <c r="F45" s="315"/>
      <c r="G45" s="315"/>
      <c r="H45" s="315"/>
      <c r="I45" s="315"/>
      <c r="J45" s="315"/>
      <c r="K45" s="315"/>
      <c r="L45" s="315"/>
      <c r="M45" s="315"/>
      <c r="N45" s="315"/>
      <c r="O45" s="315"/>
      <c r="P45" s="172"/>
      <c r="Q45" s="38"/>
      <c r="R45" s="38"/>
      <c r="S45" s="38"/>
      <c r="T45" s="38"/>
      <c r="U45" s="38"/>
      <c r="V45" s="38"/>
      <c r="W45" s="38"/>
    </row>
    <row r="46" spans="1:23" s="150" customFormat="1" ht="21" customHeight="1" x14ac:dyDescent="0.35">
      <c r="A46" s="224" t="s">
        <v>37</v>
      </c>
      <c r="B46" s="151"/>
      <c r="D46" s="152" t="s">
        <v>24</v>
      </c>
      <c r="E46" s="313" t="s">
        <v>38</v>
      </c>
      <c r="F46" s="313"/>
      <c r="G46" s="313"/>
      <c r="H46" s="313"/>
      <c r="I46" s="313"/>
      <c r="J46" s="313"/>
      <c r="K46" s="313"/>
      <c r="L46" s="313"/>
      <c r="M46" s="313"/>
      <c r="N46" s="313"/>
      <c r="O46" s="313"/>
      <c r="P46" s="172"/>
      <c r="Q46" s="38"/>
      <c r="R46" s="38"/>
      <c r="S46" s="38"/>
      <c r="T46" s="38"/>
      <c r="U46" s="38"/>
      <c r="V46" s="38"/>
      <c r="W46" s="38"/>
    </row>
    <row r="47" spans="1:23" s="144" customFormat="1" ht="17.149999999999999" customHeight="1" thickBot="1" x14ac:dyDescent="0.4">
      <c r="A47" s="258"/>
      <c r="B47" s="320" t="s">
        <v>245</v>
      </c>
      <c r="C47" s="321"/>
      <c r="D47" s="157">
        <v>0</v>
      </c>
      <c r="E47" s="314"/>
      <c r="F47" s="314"/>
      <c r="G47" s="314"/>
      <c r="H47" s="314"/>
      <c r="I47" s="314"/>
      <c r="J47" s="314"/>
      <c r="K47" s="314"/>
      <c r="L47" s="314"/>
      <c r="M47" s="314"/>
      <c r="N47" s="314"/>
      <c r="O47" s="314"/>
      <c r="P47" s="172"/>
      <c r="Q47" s="38"/>
      <c r="R47" s="38"/>
      <c r="S47" s="38"/>
      <c r="T47" s="38"/>
      <c r="U47" s="38"/>
      <c r="V47" s="38"/>
      <c r="W47" s="38"/>
    </row>
    <row r="48" spans="1:23" s="144" customFormat="1" ht="8.15" customHeight="1" thickBot="1" x14ac:dyDescent="0.4">
      <c r="A48" s="155"/>
      <c r="B48" s="155"/>
      <c r="C48" s="155"/>
      <c r="D48" s="155"/>
      <c r="E48" s="315"/>
      <c r="F48" s="315"/>
      <c r="G48" s="315"/>
      <c r="H48" s="315"/>
      <c r="I48" s="315"/>
      <c r="J48" s="315"/>
      <c r="K48" s="315"/>
      <c r="L48" s="315"/>
      <c r="M48" s="315"/>
      <c r="N48" s="315"/>
      <c r="O48" s="315"/>
      <c r="P48" s="172"/>
      <c r="Q48" s="38"/>
      <c r="R48" s="38"/>
      <c r="S48" s="38"/>
      <c r="T48" s="38"/>
      <c r="U48" s="38"/>
      <c r="V48" s="38"/>
      <c r="W48" s="38"/>
    </row>
    <row r="49" spans="1:24" s="150" customFormat="1" ht="21" customHeight="1" x14ac:dyDescent="0.35">
      <c r="A49" s="224" t="s">
        <v>39</v>
      </c>
      <c r="B49" s="151"/>
      <c r="D49" s="229" t="s">
        <v>24</v>
      </c>
      <c r="E49" s="313" t="s">
        <v>247</v>
      </c>
      <c r="F49" s="313"/>
      <c r="G49" s="313"/>
      <c r="H49" s="313"/>
      <c r="I49" s="313"/>
      <c r="J49" s="313"/>
      <c r="K49" s="313"/>
      <c r="L49" s="313"/>
      <c r="M49" s="313"/>
      <c r="N49" s="313"/>
      <c r="O49" s="313"/>
      <c r="P49" s="172"/>
      <c r="Q49" s="38"/>
      <c r="R49" s="38"/>
      <c r="S49" s="38"/>
      <c r="T49" s="38"/>
      <c r="U49" s="38"/>
      <c r="V49" s="38"/>
      <c r="W49" s="38"/>
    </row>
    <row r="50" spans="1:24" s="149" customFormat="1" ht="15.65" customHeight="1" x14ac:dyDescent="0.35">
      <c r="A50" s="150"/>
      <c r="B50" s="154" t="s">
        <v>28</v>
      </c>
      <c r="C50" s="154" t="s">
        <v>29</v>
      </c>
      <c r="D50" s="153" t="s">
        <v>243</v>
      </c>
      <c r="E50" s="314"/>
      <c r="F50" s="314"/>
      <c r="G50" s="314"/>
      <c r="H50" s="314"/>
      <c r="I50" s="314"/>
      <c r="J50" s="314"/>
      <c r="K50" s="314"/>
      <c r="L50" s="314"/>
      <c r="M50" s="314"/>
      <c r="N50" s="314"/>
      <c r="O50" s="314"/>
      <c r="P50" s="172"/>
      <c r="Q50" s="38"/>
      <c r="R50" s="38"/>
      <c r="S50" s="38"/>
      <c r="T50" s="38"/>
      <c r="U50" s="12"/>
      <c r="V50" s="12"/>
      <c r="W50" s="12"/>
    </row>
    <row r="51" spans="1:24" s="144" customFormat="1" ht="17.149999999999999" customHeight="1" thickBot="1" x14ac:dyDescent="0.4">
      <c r="A51" s="156"/>
      <c r="B51" s="159">
        <v>0</v>
      </c>
      <c r="C51" s="159">
        <f>(E21+D21)*10</f>
        <v>0</v>
      </c>
      <c r="D51" s="157">
        <v>0</v>
      </c>
      <c r="E51" s="314"/>
      <c r="F51" s="314"/>
      <c r="G51" s="314"/>
      <c r="H51" s="314"/>
      <c r="I51" s="314"/>
      <c r="J51" s="314"/>
      <c r="K51" s="314"/>
      <c r="L51" s="314"/>
      <c r="M51" s="314"/>
      <c r="N51" s="314"/>
      <c r="O51" s="314"/>
      <c r="P51" s="172"/>
      <c r="Q51" s="38"/>
      <c r="R51" s="38"/>
      <c r="S51" s="38"/>
      <c r="T51" s="38"/>
      <c r="U51" s="38"/>
      <c r="V51" s="38"/>
      <c r="W51" s="38"/>
    </row>
    <row r="52" spans="1:24" s="144" customFormat="1" ht="8.15" customHeight="1" thickBot="1" x14ac:dyDescent="0.4">
      <c r="A52" s="155"/>
      <c r="B52" s="155"/>
      <c r="C52" s="155"/>
      <c r="D52" s="155"/>
      <c r="E52" s="315"/>
      <c r="F52" s="315"/>
      <c r="G52" s="315"/>
      <c r="H52" s="315"/>
      <c r="I52" s="315"/>
      <c r="J52" s="315"/>
      <c r="K52" s="315"/>
      <c r="L52" s="315"/>
      <c r="M52" s="315"/>
      <c r="N52" s="315"/>
      <c r="O52" s="315"/>
      <c r="P52" s="172"/>
      <c r="Q52" s="38"/>
      <c r="R52" s="38"/>
      <c r="S52" s="38"/>
      <c r="T52" s="38"/>
      <c r="U52" s="38"/>
      <c r="V52" s="38"/>
      <c r="W52" s="38"/>
    </row>
    <row r="53" spans="1:24" s="150" customFormat="1" ht="21" customHeight="1" x14ac:dyDescent="0.35">
      <c r="A53" s="224" t="s">
        <v>40</v>
      </c>
      <c r="B53" s="151"/>
      <c r="D53" s="229" t="s">
        <v>24</v>
      </c>
      <c r="E53" s="313" t="s">
        <v>246</v>
      </c>
      <c r="F53" s="313"/>
      <c r="G53" s="313"/>
      <c r="H53" s="313"/>
      <c r="I53" s="313"/>
      <c r="J53" s="313"/>
      <c r="K53" s="313"/>
      <c r="L53" s="313"/>
      <c r="M53" s="313"/>
      <c r="N53" s="313"/>
      <c r="O53" s="313"/>
      <c r="P53" s="172"/>
      <c r="Q53" s="38"/>
      <c r="R53" s="38"/>
      <c r="S53" s="38"/>
      <c r="T53" s="38"/>
      <c r="U53" s="12"/>
      <c r="V53" s="12"/>
      <c r="W53" s="12"/>
    </row>
    <row r="54" spans="1:24" s="149" customFormat="1" ht="15.65" customHeight="1" x14ac:dyDescent="0.35">
      <c r="A54" s="150"/>
      <c r="B54" s="154" t="s">
        <v>28</v>
      </c>
      <c r="C54" s="154" t="s">
        <v>29</v>
      </c>
      <c r="D54" s="153" t="s">
        <v>243</v>
      </c>
      <c r="E54" s="314"/>
      <c r="F54" s="314"/>
      <c r="G54" s="314"/>
      <c r="H54" s="314"/>
      <c r="I54" s="314"/>
      <c r="J54" s="314"/>
      <c r="K54" s="314"/>
      <c r="L54" s="314"/>
      <c r="M54" s="314"/>
      <c r="N54" s="314"/>
      <c r="O54" s="314"/>
      <c r="P54" s="172"/>
      <c r="Q54" s="38"/>
      <c r="R54" s="38"/>
      <c r="S54" s="38"/>
      <c r="T54" s="38"/>
      <c r="U54" s="38"/>
      <c r="V54" s="38"/>
      <c r="W54" s="38"/>
    </row>
    <row r="55" spans="1:24" s="144" customFormat="1" ht="17.149999999999999" customHeight="1" thickBot="1" x14ac:dyDescent="0.4">
      <c r="A55" s="156"/>
      <c r="B55" s="159">
        <f>D13*0.4/12</f>
        <v>0</v>
      </c>
      <c r="C55" s="159">
        <f>D13*0.6/12</f>
        <v>0</v>
      </c>
      <c r="D55" s="157">
        <v>0</v>
      </c>
      <c r="E55" s="314"/>
      <c r="F55" s="314"/>
      <c r="G55" s="314"/>
      <c r="H55" s="314"/>
      <c r="I55" s="314"/>
      <c r="J55" s="314"/>
      <c r="K55" s="314"/>
      <c r="L55" s="314"/>
      <c r="M55" s="314"/>
      <c r="N55" s="314"/>
      <c r="O55" s="314"/>
      <c r="P55" s="172"/>
      <c r="Q55" s="38"/>
      <c r="R55" s="38"/>
      <c r="S55" s="38"/>
      <c r="T55" s="38"/>
      <c r="U55" s="38"/>
      <c r="V55" s="38"/>
      <c r="W55" s="38"/>
    </row>
    <row r="56" spans="1:24" s="144" customFormat="1" ht="8.15" customHeight="1" thickBot="1" x14ac:dyDescent="0.4">
      <c r="A56" s="155"/>
      <c r="B56" s="155"/>
      <c r="C56" s="155"/>
      <c r="D56" s="155"/>
      <c r="E56" s="315"/>
      <c r="F56" s="315"/>
      <c r="G56" s="315"/>
      <c r="H56" s="315"/>
      <c r="I56" s="315"/>
      <c r="J56" s="315"/>
      <c r="K56" s="315"/>
      <c r="L56" s="315"/>
      <c r="M56" s="315"/>
      <c r="N56" s="315"/>
      <c r="O56" s="315"/>
      <c r="P56" s="172"/>
      <c r="Q56" s="38"/>
      <c r="R56" s="38"/>
      <c r="S56" s="38"/>
      <c r="T56" s="38"/>
      <c r="U56" s="38"/>
      <c r="V56" s="38"/>
      <c r="W56" s="38"/>
    </row>
    <row r="57" spans="1:24" s="150" customFormat="1" ht="21" customHeight="1" x14ac:dyDescent="0.35">
      <c r="A57" s="224" t="s">
        <v>41</v>
      </c>
      <c r="B57" s="151"/>
      <c r="D57" s="229" t="s">
        <v>42</v>
      </c>
      <c r="E57" s="313" t="s">
        <v>273</v>
      </c>
      <c r="F57" s="313"/>
      <c r="G57" s="313"/>
      <c r="H57" s="313"/>
      <c r="I57" s="313"/>
      <c r="J57" s="313"/>
      <c r="K57" s="313"/>
      <c r="L57" s="313"/>
      <c r="M57" s="313"/>
      <c r="N57" s="313"/>
      <c r="O57" s="313"/>
      <c r="P57" s="172"/>
      <c r="Q57" s="38"/>
      <c r="R57" s="38"/>
      <c r="S57" s="38"/>
      <c r="T57" s="38"/>
      <c r="U57" s="38"/>
      <c r="V57" s="38"/>
      <c r="W57" s="38"/>
    </row>
    <row r="58" spans="1:24" s="149" customFormat="1" ht="15.65" customHeight="1" x14ac:dyDescent="0.35">
      <c r="A58" s="150"/>
      <c r="B58" s="316" t="s">
        <v>43</v>
      </c>
      <c r="C58" s="317"/>
      <c r="D58" s="153" t="s">
        <v>243</v>
      </c>
      <c r="E58" s="314"/>
      <c r="F58" s="314"/>
      <c r="G58" s="314"/>
      <c r="H58" s="314"/>
      <c r="I58" s="314"/>
      <c r="J58" s="314"/>
      <c r="K58" s="314"/>
      <c r="L58" s="314"/>
      <c r="M58" s="314"/>
      <c r="N58" s="314"/>
      <c r="O58" s="314"/>
      <c r="P58" s="172"/>
      <c r="Q58" s="38"/>
      <c r="R58" s="38"/>
      <c r="S58" s="38"/>
      <c r="T58" s="38"/>
      <c r="U58" s="38"/>
      <c r="V58" s="38"/>
      <c r="W58" s="38"/>
    </row>
    <row r="59" spans="1:24" s="144" customFormat="1" ht="17.149999999999999" customHeight="1" thickBot="1" x14ac:dyDescent="0.4">
      <c r="A59" s="156"/>
      <c r="B59" s="318">
        <f>D13*(0.98)</f>
        <v>0</v>
      </c>
      <c r="C59" s="319"/>
      <c r="D59" s="157">
        <v>0</v>
      </c>
      <c r="E59" s="314"/>
      <c r="F59" s="314"/>
      <c r="G59" s="314"/>
      <c r="H59" s="314"/>
      <c r="I59" s="314"/>
      <c r="J59" s="314"/>
      <c r="K59" s="314"/>
      <c r="L59" s="314"/>
      <c r="M59" s="314"/>
      <c r="N59" s="314"/>
      <c r="O59" s="314"/>
      <c r="P59" s="172"/>
      <c r="Q59" s="38"/>
      <c r="R59" s="38"/>
      <c r="S59" s="38"/>
      <c r="T59" s="38"/>
      <c r="U59" s="38"/>
      <c r="V59" s="38"/>
      <c r="W59" s="38"/>
    </row>
    <row r="60" spans="1:24" s="144" customFormat="1" ht="8.15" customHeight="1" thickBot="1" x14ac:dyDescent="0.4">
      <c r="A60" s="155"/>
      <c r="B60" s="155"/>
      <c r="C60" s="155"/>
      <c r="D60" s="155"/>
      <c r="E60" s="315"/>
      <c r="F60" s="315"/>
      <c r="G60" s="315"/>
      <c r="H60" s="315"/>
      <c r="I60" s="315"/>
      <c r="J60" s="315"/>
      <c r="K60" s="315"/>
      <c r="L60" s="315"/>
      <c r="M60" s="315"/>
      <c r="N60" s="315"/>
      <c r="O60" s="315"/>
      <c r="P60" s="172"/>
      <c r="Q60" s="38"/>
      <c r="R60" s="38"/>
      <c r="S60" s="38"/>
      <c r="T60" s="38"/>
      <c r="U60" s="38"/>
      <c r="V60" s="38"/>
      <c r="W60" s="38"/>
    </row>
    <row r="61" spans="1:24" s="40" customFormat="1" ht="9.65" customHeight="1" thickBot="1" x14ac:dyDescent="0.4">
      <c r="A61" s="124"/>
      <c r="B61" s="223"/>
      <c r="R61" s="41"/>
      <c r="S61" s="41"/>
      <c r="T61" s="41"/>
      <c r="U61" s="41"/>
      <c r="V61" s="41"/>
      <c r="W61" s="41"/>
    </row>
    <row r="62" spans="1:24" s="169" customFormat="1" ht="31.5" customHeight="1" thickBot="1" x14ac:dyDescent="0.4">
      <c r="A62" s="259" t="s">
        <v>44</v>
      </c>
      <c r="B62" s="165"/>
      <c r="C62" s="165"/>
      <c r="D62" s="166"/>
      <c r="E62" s="166"/>
      <c r="F62" s="167"/>
      <c r="G62" s="168"/>
      <c r="H62" s="166"/>
      <c r="I62" s="166"/>
      <c r="J62" s="166"/>
      <c r="K62" s="166"/>
      <c r="L62" s="166"/>
      <c r="M62" s="166"/>
      <c r="N62" s="166"/>
      <c r="O62" s="166"/>
      <c r="P62" s="166"/>
      <c r="Q62" s="166"/>
      <c r="R62" s="166"/>
      <c r="S62" s="166"/>
      <c r="T62" s="166"/>
      <c r="U62" s="166"/>
      <c r="V62" s="166"/>
      <c r="W62" s="166"/>
      <c r="X62" s="166"/>
    </row>
    <row r="63" spans="1:24" s="150" customFormat="1" ht="21" customHeight="1" x14ac:dyDescent="0.35">
      <c r="A63" s="224" t="s">
        <v>45</v>
      </c>
      <c r="B63" s="151"/>
      <c r="D63" s="152"/>
      <c r="E63" s="313" t="s">
        <v>248</v>
      </c>
      <c r="F63" s="313"/>
      <c r="G63" s="313"/>
      <c r="H63" s="313"/>
      <c r="I63" s="313"/>
      <c r="J63" s="313"/>
      <c r="K63" s="313"/>
      <c r="L63" s="313"/>
      <c r="M63" s="313"/>
      <c r="N63" s="313"/>
      <c r="O63" s="313"/>
      <c r="P63" s="172"/>
      <c r="Q63" s="38"/>
      <c r="R63" s="38"/>
      <c r="S63" s="38"/>
      <c r="T63" s="38"/>
      <c r="U63" s="38"/>
      <c r="V63" s="38"/>
      <c r="W63" s="38"/>
    </row>
    <row r="64" spans="1:24" s="149" customFormat="1" ht="15.65" customHeight="1" x14ac:dyDescent="0.35">
      <c r="A64" s="226"/>
      <c r="B64" s="316" t="s">
        <v>249</v>
      </c>
      <c r="C64" s="317"/>
      <c r="D64" s="170" t="s">
        <v>252</v>
      </c>
      <c r="E64" s="314"/>
      <c r="F64" s="314"/>
      <c r="G64" s="314"/>
      <c r="H64" s="314"/>
      <c r="I64" s="314"/>
      <c r="J64" s="314"/>
      <c r="K64" s="314"/>
      <c r="L64" s="314"/>
      <c r="M64" s="314"/>
      <c r="N64" s="314"/>
      <c r="O64" s="314"/>
      <c r="P64" s="172"/>
      <c r="Q64" s="38"/>
      <c r="R64" s="38"/>
      <c r="S64" s="38"/>
      <c r="T64" s="38"/>
      <c r="U64" s="38"/>
      <c r="V64" s="38"/>
      <c r="W64" s="38"/>
    </row>
    <row r="65" spans="1:23" s="144" customFormat="1" ht="17.149999999999999" customHeight="1" thickBot="1" x14ac:dyDescent="0.4">
      <c r="A65" s="230"/>
      <c r="B65" s="311">
        <v>200</v>
      </c>
      <c r="C65" s="312"/>
      <c r="D65" s="147" t="s">
        <v>47</v>
      </c>
      <c r="E65" s="314"/>
      <c r="F65" s="314"/>
      <c r="G65" s="314"/>
      <c r="H65" s="314"/>
      <c r="I65" s="314"/>
      <c r="J65" s="314"/>
      <c r="K65" s="314"/>
      <c r="L65" s="314"/>
      <c r="M65" s="314"/>
      <c r="N65" s="314"/>
      <c r="O65" s="314"/>
      <c r="P65" s="172"/>
      <c r="Q65" s="38"/>
      <c r="R65" s="38"/>
      <c r="S65" s="38"/>
      <c r="T65" s="38"/>
      <c r="U65" s="38"/>
      <c r="V65" s="38"/>
      <c r="W65" s="38"/>
    </row>
    <row r="66" spans="1:23" s="144" customFormat="1" ht="8.15" customHeight="1" thickBot="1" x14ac:dyDescent="0.4">
      <c r="A66" s="231"/>
      <c r="B66" s="155"/>
      <c r="C66" s="155"/>
      <c r="D66" s="155"/>
      <c r="E66" s="315"/>
      <c r="F66" s="315"/>
      <c r="G66" s="315"/>
      <c r="H66" s="315"/>
      <c r="I66" s="315"/>
      <c r="J66" s="315"/>
      <c r="K66" s="315"/>
      <c r="L66" s="315"/>
      <c r="M66" s="315"/>
      <c r="N66" s="315"/>
      <c r="O66" s="315"/>
      <c r="P66" s="172"/>
      <c r="Q66" s="38"/>
      <c r="R66" s="38"/>
      <c r="S66" s="38"/>
      <c r="T66" s="38"/>
      <c r="U66" s="38"/>
      <c r="V66" s="38"/>
      <c r="W66" s="38"/>
    </row>
    <row r="67" spans="1:23" s="150" customFormat="1" ht="21" customHeight="1" x14ac:dyDescent="0.35">
      <c r="A67" s="224" t="s">
        <v>235</v>
      </c>
      <c r="B67" s="151"/>
      <c r="D67" s="152"/>
      <c r="E67" s="313" t="s">
        <v>274</v>
      </c>
      <c r="F67" s="313"/>
      <c r="G67" s="313"/>
      <c r="H67" s="313"/>
      <c r="I67" s="313"/>
      <c r="J67" s="313"/>
      <c r="K67" s="313"/>
      <c r="L67" s="313"/>
      <c r="M67" s="313"/>
      <c r="N67" s="313"/>
      <c r="O67" s="313"/>
      <c r="P67" s="172"/>
      <c r="Q67" s="38"/>
      <c r="R67" s="38"/>
      <c r="S67" s="38"/>
      <c r="T67" s="38"/>
      <c r="U67" s="38"/>
      <c r="V67" s="38"/>
      <c r="W67" s="38"/>
    </row>
    <row r="68" spans="1:23" s="149" customFormat="1" ht="15.65" customHeight="1" x14ac:dyDescent="0.35">
      <c r="A68" s="226"/>
      <c r="B68" s="316" t="s">
        <v>46</v>
      </c>
      <c r="C68" s="317"/>
      <c r="D68" s="170" t="s">
        <v>252</v>
      </c>
      <c r="E68" s="314"/>
      <c r="F68" s="314"/>
      <c r="G68" s="314"/>
      <c r="H68" s="314"/>
      <c r="I68" s="314"/>
      <c r="J68" s="314"/>
      <c r="K68" s="314"/>
      <c r="L68" s="314"/>
      <c r="M68" s="314"/>
      <c r="N68" s="314"/>
      <c r="O68" s="314"/>
      <c r="P68" s="172"/>
      <c r="Q68" s="38"/>
      <c r="R68" s="38"/>
      <c r="S68" s="38"/>
      <c r="T68" s="38"/>
      <c r="U68" s="38"/>
      <c r="V68" s="38"/>
      <c r="W68" s="38"/>
    </row>
    <row r="69" spans="1:23" s="144" customFormat="1" ht="17.149999999999999" customHeight="1" thickBot="1" x14ac:dyDescent="0.4">
      <c r="A69" s="230"/>
      <c r="B69" s="351">
        <v>4.9000000000000002E-2</v>
      </c>
      <c r="C69" s="312"/>
      <c r="D69" s="147" t="s">
        <v>250</v>
      </c>
      <c r="E69" s="314"/>
      <c r="F69" s="314"/>
      <c r="G69" s="314"/>
      <c r="H69" s="314"/>
      <c r="I69" s="314"/>
      <c r="J69" s="314"/>
      <c r="K69" s="314"/>
      <c r="L69" s="314"/>
      <c r="M69" s="314"/>
      <c r="N69" s="314"/>
      <c r="O69" s="314"/>
      <c r="P69" s="172"/>
      <c r="Q69" s="38"/>
      <c r="R69" s="38"/>
      <c r="S69" s="38"/>
      <c r="T69" s="38"/>
      <c r="U69" s="38"/>
      <c r="V69" s="38"/>
      <c r="W69" s="38"/>
    </row>
    <row r="70" spans="1:23" s="144" customFormat="1" ht="8.15" customHeight="1" thickBot="1" x14ac:dyDescent="0.4">
      <c r="A70" s="231"/>
      <c r="B70" s="155"/>
      <c r="C70" s="155"/>
      <c r="D70" s="155"/>
      <c r="E70" s="315"/>
      <c r="F70" s="315"/>
      <c r="G70" s="315"/>
      <c r="H70" s="315"/>
      <c r="I70" s="315"/>
      <c r="J70" s="315"/>
      <c r="K70" s="315"/>
      <c r="L70" s="315"/>
      <c r="M70" s="315"/>
      <c r="N70" s="315"/>
      <c r="O70" s="315"/>
      <c r="P70" s="172"/>
      <c r="Q70" s="38"/>
      <c r="R70" s="38"/>
      <c r="S70" s="38"/>
      <c r="T70" s="38"/>
      <c r="U70" s="38"/>
      <c r="V70" s="38"/>
      <c r="W70" s="38"/>
    </row>
    <row r="71" spans="1:23" s="150" customFormat="1" ht="21" customHeight="1" x14ac:dyDescent="0.35">
      <c r="A71" s="224" t="s">
        <v>48</v>
      </c>
      <c r="B71" s="151"/>
      <c r="D71" s="229" t="s">
        <v>24</v>
      </c>
      <c r="E71" s="313" t="s">
        <v>275</v>
      </c>
      <c r="F71" s="313"/>
      <c r="G71" s="313"/>
      <c r="H71" s="313"/>
      <c r="I71" s="313"/>
      <c r="J71" s="313"/>
      <c r="K71" s="313"/>
      <c r="L71" s="313"/>
      <c r="M71" s="313"/>
      <c r="N71" s="313"/>
      <c r="O71" s="313"/>
      <c r="P71" s="172"/>
      <c r="Q71" s="38"/>
      <c r="R71" s="38"/>
      <c r="S71" s="38"/>
      <c r="T71" s="38"/>
      <c r="U71" s="38"/>
      <c r="V71" s="38"/>
      <c r="W71" s="38"/>
    </row>
    <row r="72" spans="1:23" s="149" customFormat="1" ht="15.65" customHeight="1" x14ac:dyDescent="0.35">
      <c r="A72" s="226"/>
      <c r="B72" s="316" t="s">
        <v>49</v>
      </c>
      <c r="C72" s="317"/>
      <c r="D72" s="170" t="s">
        <v>252</v>
      </c>
      <c r="E72" s="314"/>
      <c r="F72" s="314"/>
      <c r="G72" s="314"/>
      <c r="H72" s="314"/>
      <c r="I72" s="314"/>
      <c r="J72" s="314"/>
      <c r="K72" s="314"/>
      <c r="L72" s="314"/>
      <c r="M72" s="314"/>
      <c r="N72" s="314"/>
      <c r="O72" s="314"/>
      <c r="P72" s="172"/>
      <c r="Q72" s="38"/>
      <c r="R72" s="38"/>
      <c r="S72" s="38"/>
      <c r="T72" s="38"/>
      <c r="U72" s="12"/>
      <c r="V72" s="12"/>
      <c r="W72" s="12"/>
    </row>
    <row r="73" spans="1:23" s="144" customFormat="1" ht="17.149999999999999" customHeight="1" thickBot="1" x14ac:dyDescent="0.4">
      <c r="A73" s="230"/>
      <c r="B73" s="311">
        <v>24</v>
      </c>
      <c r="C73" s="312"/>
      <c r="D73" s="134" t="s">
        <v>250</v>
      </c>
      <c r="E73" s="314"/>
      <c r="F73" s="314"/>
      <c r="G73" s="314"/>
      <c r="H73" s="314"/>
      <c r="I73" s="314"/>
      <c r="J73" s="314"/>
      <c r="K73" s="314"/>
      <c r="L73" s="314"/>
      <c r="M73" s="314"/>
      <c r="N73" s="314"/>
      <c r="O73" s="314"/>
      <c r="P73" s="172"/>
      <c r="Q73" s="38"/>
      <c r="R73" s="38"/>
      <c r="S73" s="38"/>
      <c r="T73" s="38"/>
      <c r="U73" s="38"/>
      <c r="V73" s="38"/>
      <c r="W73" s="38"/>
    </row>
    <row r="74" spans="1:23" s="144" customFormat="1" ht="8.15" customHeight="1" thickBot="1" x14ac:dyDescent="0.4">
      <c r="A74" s="231"/>
      <c r="B74" s="155"/>
      <c r="C74" s="155"/>
      <c r="D74" s="155"/>
      <c r="E74" s="315"/>
      <c r="F74" s="315"/>
      <c r="G74" s="315"/>
      <c r="H74" s="315"/>
      <c r="I74" s="315"/>
      <c r="J74" s="315"/>
      <c r="K74" s="315"/>
      <c r="L74" s="315"/>
      <c r="M74" s="315"/>
      <c r="N74" s="315"/>
      <c r="O74" s="315"/>
      <c r="P74" s="172"/>
      <c r="Q74" s="38"/>
      <c r="R74" s="38"/>
      <c r="S74" s="38"/>
      <c r="T74" s="38"/>
      <c r="U74" s="38"/>
      <c r="V74" s="38"/>
      <c r="W74" s="38"/>
    </row>
    <row r="75" spans="1:23" s="150" customFormat="1" ht="21" customHeight="1" x14ac:dyDescent="0.35">
      <c r="A75" s="224" t="s">
        <v>50</v>
      </c>
      <c r="B75" s="151"/>
      <c r="D75" s="229" t="s">
        <v>24</v>
      </c>
      <c r="E75" s="313" t="s">
        <v>51</v>
      </c>
      <c r="F75" s="313"/>
      <c r="G75" s="313"/>
      <c r="H75" s="313"/>
      <c r="I75" s="313"/>
      <c r="J75" s="313"/>
      <c r="K75" s="313"/>
      <c r="L75" s="313"/>
      <c r="M75" s="313"/>
      <c r="N75" s="313"/>
      <c r="O75" s="313"/>
      <c r="P75" s="172"/>
      <c r="Q75" s="38"/>
      <c r="R75" s="38"/>
      <c r="S75" s="38"/>
      <c r="T75" s="38"/>
      <c r="U75" s="38"/>
      <c r="V75" s="38"/>
      <c r="W75" s="38"/>
    </row>
    <row r="76" spans="1:23" s="144" customFormat="1" ht="17.149999999999999" customHeight="1" thickBot="1" x14ac:dyDescent="0.4">
      <c r="A76" s="258"/>
      <c r="B76" s="320" t="s">
        <v>245</v>
      </c>
      <c r="C76" s="321"/>
      <c r="D76" s="157">
        <v>0</v>
      </c>
      <c r="E76" s="314"/>
      <c r="F76" s="314"/>
      <c r="G76" s="314"/>
      <c r="H76" s="314"/>
      <c r="I76" s="314"/>
      <c r="J76" s="314"/>
      <c r="K76" s="314"/>
      <c r="L76" s="314"/>
      <c r="M76" s="314"/>
      <c r="N76" s="314"/>
      <c r="O76" s="314"/>
      <c r="P76" s="172"/>
      <c r="Q76" s="38"/>
      <c r="R76" s="38"/>
      <c r="S76" s="38"/>
      <c r="T76" s="38"/>
      <c r="U76" s="38"/>
      <c r="V76" s="38"/>
      <c r="W76" s="38"/>
    </row>
    <row r="77" spans="1:23" s="144" customFormat="1" ht="8.15" customHeight="1" thickBot="1" x14ac:dyDescent="0.4">
      <c r="A77" s="231"/>
      <c r="B77" s="155"/>
      <c r="C77" s="155"/>
      <c r="D77" s="155"/>
      <c r="E77" s="315"/>
      <c r="F77" s="315"/>
      <c r="G77" s="315"/>
      <c r="H77" s="315"/>
      <c r="I77" s="315"/>
      <c r="J77" s="315"/>
      <c r="K77" s="315"/>
      <c r="L77" s="315"/>
      <c r="M77" s="315"/>
      <c r="N77" s="315"/>
      <c r="O77" s="315"/>
      <c r="P77" s="172"/>
      <c r="Q77" s="38"/>
      <c r="R77" s="38"/>
      <c r="S77" s="38"/>
      <c r="T77" s="38"/>
      <c r="U77" s="38"/>
      <c r="V77" s="38"/>
      <c r="W77" s="38"/>
    </row>
    <row r="78" spans="1:23" s="150" customFormat="1" ht="21" customHeight="1" x14ac:dyDescent="0.35">
      <c r="A78" s="224" t="s">
        <v>52</v>
      </c>
      <c r="B78" s="151"/>
      <c r="D78" s="229" t="s">
        <v>42</v>
      </c>
      <c r="E78" s="313" t="s">
        <v>53</v>
      </c>
      <c r="F78" s="313"/>
      <c r="G78" s="313"/>
      <c r="H78" s="313"/>
      <c r="I78" s="313"/>
      <c r="J78" s="313"/>
      <c r="K78" s="313"/>
      <c r="L78" s="313"/>
      <c r="M78" s="313"/>
      <c r="N78" s="313"/>
      <c r="O78" s="313"/>
      <c r="P78" s="172"/>
      <c r="Q78" s="38"/>
      <c r="R78" s="38"/>
      <c r="S78" s="38"/>
      <c r="T78" s="38"/>
      <c r="U78" s="38"/>
      <c r="V78" s="38"/>
      <c r="W78" s="38"/>
    </row>
    <row r="79" spans="1:23" s="144" customFormat="1" ht="17.149999999999999" customHeight="1" thickBot="1" x14ac:dyDescent="0.4">
      <c r="A79" s="258"/>
      <c r="B79" s="320" t="s">
        <v>251</v>
      </c>
      <c r="C79" s="321"/>
      <c r="D79" s="157">
        <v>0</v>
      </c>
      <c r="E79" s="314"/>
      <c r="F79" s="314"/>
      <c r="G79" s="314"/>
      <c r="H79" s="314"/>
      <c r="I79" s="314"/>
      <c r="J79" s="314"/>
      <c r="K79" s="314"/>
      <c r="L79" s="314"/>
      <c r="M79" s="314"/>
      <c r="N79" s="314"/>
      <c r="O79" s="314"/>
      <c r="P79" s="172"/>
      <c r="Q79" s="38"/>
      <c r="R79" s="38"/>
      <c r="S79" s="38"/>
      <c r="T79" s="38"/>
      <c r="U79" s="38"/>
      <c r="V79" s="38"/>
      <c r="W79" s="38"/>
    </row>
    <row r="80" spans="1:23" s="144" customFormat="1" ht="8.15" customHeight="1" thickBot="1" x14ac:dyDescent="0.4">
      <c r="A80" s="155"/>
      <c r="B80" s="155"/>
      <c r="C80" s="155"/>
      <c r="D80" s="155"/>
      <c r="E80" s="315"/>
      <c r="F80" s="315"/>
      <c r="G80" s="315"/>
      <c r="H80" s="315"/>
      <c r="I80" s="315"/>
      <c r="J80" s="315"/>
      <c r="K80" s="315"/>
      <c r="L80" s="315"/>
      <c r="M80" s="315"/>
      <c r="N80" s="315"/>
      <c r="O80" s="315"/>
      <c r="P80" s="172"/>
      <c r="Q80" s="38"/>
      <c r="R80" s="38"/>
      <c r="S80" s="38"/>
      <c r="T80" s="38"/>
      <c r="U80" s="12"/>
      <c r="V80" s="12"/>
      <c r="W80" s="12"/>
    </row>
    <row r="81" spans="1:24" s="150" customFormat="1" ht="21" customHeight="1" x14ac:dyDescent="0.35">
      <c r="A81" s="224" t="s">
        <v>54</v>
      </c>
      <c r="B81" s="151"/>
      <c r="D81" s="229" t="s">
        <v>42</v>
      </c>
      <c r="E81" s="313" t="s">
        <v>55</v>
      </c>
      <c r="F81" s="313"/>
      <c r="G81" s="313"/>
      <c r="H81" s="313"/>
      <c r="I81" s="313"/>
      <c r="J81" s="313"/>
      <c r="K81" s="313"/>
      <c r="L81" s="313"/>
      <c r="M81" s="313"/>
      <c r="N81" s="313"/>
      <c r="O81" s="313"/>
      <c r="P81" s="172"/>
      <c r="Q81" s="38"/>
      <c r="R81" s="38"/>
      <c r="S81" s="38"/>
      <c r="T81" s="38"/>
      <c r="U81" s="12"/>
      <c r="V81" s="12"/>
      <c r="W81" s="12"/>
    </row>
    <row r="82" spans="1:24" s="149" customFormat="1" ht="15.65" customHeight="1" x14ac:dyDescent="0.35">
      <c r="A82" s="226"/>
      <c r="B82" s="154" t="s">
        <v>28</v>
      </c>
      <c r="C82" s="154" t="s">
        <v>29</v>
      </c>
      <c r="D82" s="153" t="s">
        <v>243</v>
      </c>
      <c r="E82" s="314"/>
      <c r="F82" s="314"/>
      <c r="G82" s="314"/>
      <c r="H82" s="314"/>
      <c r="I82" s="314"/>
      <c r="J82" s="314"/>
      <c r="K82" s="314"/>
      <c r="L82" s="314"/>
      <c r="M82" s="314"/>
      <c r="N82" s="314"/>
      <c r="O82" s="314"/>
      <c r="P82" s="172"/>
      <c r="Q82" s="38"/>
      <c r="R82" s="38"/>
      <c r="S82" s="38"/>
      <c r="T82" s="38"/>
      <c r="U82" s="38"/>
      <c r="V82" s="38"/>
      <c r="W82" s="38"/>
    </row>
    <row r="83" spans="1:24" s="144" customFormat="1" ht="17.149999999999999" customHeight="1" thickBot="1" x14ac:dyDescent="0.4">
      <c r="A83" s="230"/>
      <c r="B83" s="159">
        <f>D30*0.4</f>
        <v>0</v>
      </c>
      <c r="C83" s="159">
        <v>520</v>
      </c>
      <c r="D83" s="157">
        <v>0</v>
      </c>
      <c r="E83" s="314"/>
      <c r="F83" s="314"/>
      <c r="G83" s="314"/>
      <c r="H83" s="314"/>
      <c r="I83" s="314"/>
      <c r="J83" s="314"/>
      <c r="K83" s="314"/>
      <c r="L83" s="314"/>
      <c r="M83" s="314"/>
      <c r="N83" s="314"/>
      <c r="O83" s="314"/>
      <c r="P83" s="172"/>
      <c r="Q83" s="38"/>
      <c r="R83" s="38"/>
      <c r="S83" s="38"/>
      <c r="T83" s="38"/>
      <c r="U83" s="38"/>
      <c r="V83" s="38"/>
      <c r="W83" s="38"/>
    </row>
    <row r="84" spans="1:24" s="144" customFormat="1" ht="8.15" customHeight="1" thickBot="1" x14ac:dyDescent="0.4">
      <c r="A84" s="231"/>
      <c r="B84" s="155"/>
      <c r="C84" s="155"/>
      <c r="D84" s="155"/>
      <c r="E84" s="315"/>
      <c r="F84" s="315"/>
      <c r="G84" s="315"/>
      <c r="H84" s="315"/>
      <c r="I84" s="315"/>
      <c r="J84" s="315"/>
      <c r="K84" s="315"/>
      <c r="L84" s="315"/>
      <c r="M84" s="315"/>
      <c r="N84" s="315"/>
      <c r="O84" s="315"/>
      <c r="P84" s="172"/>
      <c r="Q84" s="38"/>
      <c r="R84" s="38"/>
      <c r="S84" s="38"/>
      <c r="T84" s="38"/>
      <c r="U84" s="38"/>
      <c r="V84" s="38"/>
      <c r="W84" s="38"/>
    </row>
    <row r="85" spans="1:24" s="40" customFormat="1" ht="9.65" customHeight="1" thickBot="1" x14ac:dyDescent="0.4">
      <c r="A85" s="124"/>
      <c r="B85" s="223"/>
      <c r="R85" s="41"/>
      <c r="S85" s="41"/>
      <c r="T85" s="41"/>
      <c r="U85" s="41"/>
      <c r="V85" s="41"/>
      <c r="W85" s="41"/>
    </row>
    <row r="86" spans="1:24" s="169" customFormat="1" ht="31.5" customHeight="1" thickBot="1" x14ac:dyDescent="0.4">
      <c r="A86" s="164" t="s">
        <v>56</v>
      </c>
      <c r="B86" s="165"/>
      <c r="C86" s="165"/>
      <c r="D86" s="166"/>
      <c r="E86" s="166"/>
      <c r="F86" s="166"/>
      <c r="G86" s="168"/>
      <c r="H86" s="166"/>
      <c r="I86" s="166"/>
      <c r="J86" s="166"/>
      <c r="K86" s="166"/>
      <c r="L86" s="166"/>
      <c r="M86" s="166"/>
      <c r="N86" s="166"/>
      <c r="O86" s="166"/>
      <c r="P86" s="166"/>
      <c r="Q86" s="166"/>
      <c r="R86" s="166"/>
      <c r="S86" s="166"/>
      <c r="T86" s="166"/>
      <c r="U86" s="166"/>
      <c r="V86" s="166"/>
      <c r="W86" s="166"/>
      <c r="X86" s="166"/>
    </row>
    <row r="87" spans="1:24" s="150" customFormat="1" ht="27.65" customHeight="1" x14ac:dyDescent="0.35">
      <c r="A87" s="262" t="s">
        <v>57</v>
      </c>
      <c r="B87" s="260"/>
      <c r="C87" s="261"/>
      <c r="D87" s="147" t="s">
        <v>250</v>
      </c>
      <c r="E87" s="305" t="s">
        <v>253</v>
      </c>
      <c r="F87" s="306"/>
      <c r="G87" s="306"/>
      <c r="H87" s="306"/>
      <c r="I87" s="306"/>
      <c r="J87" s="306"/>
      <c r="K87" s="306"/>
      <c r="L87" s="306"/>
      <c r="M87" s="306"/>
      <c r="N87" s="306"/>
      <c r="O87" s="307"/>
      <c r="P87" s="172"/>
      <c r="Q87" s="38"/>
      <c r="R87" s="38"/>
      <c r="S87" s="38"/>
      <c r="T87" s="38"/>
      <c r="U87" s="38"/>
      <c r="V87" s="38"/>
      <c r="W87" s="38"/>
    </row>
    <row r="88" spans="1:24" s="150" customFormat="1" ht="21" customHeight="1" x14ac:dyDescent="0.35">
      <c r="A88" s="262" t="s">
        <v>58</v>
      </c>
      <c r="B88" s="260"/>
      <c r="C88" s="149"/>
      <c r="D88" s="129">
        <v>2</v>
      </c>
      <c r="E88" s="305" t="s">
        <v>59</v>
      </c>
      <c r="F88" s="306"/>
      <c r="G88" s="306"/>
      <c r="H88" s="306"/>
      <c r="I88" s="306"/>
      <c r="J88" s="306"/>
      <c r="K88" s="306"/>
      <c r="L88" s="306"/>
      <c r="M88" s="306"/>
      <c r="N88" s="306"/>
      <c r="O88" s="307"/>
      <c r="P88" s="172"/>
      <c r="Q88" s="38"/>
      <c r="R88" s="38"/>
      <c r="S88" s="38"/>
      <c r="T88" s="38"/>
      <c r="U88" s="38"/>
      <c r="V88" s="38"/>
      <c r="W88" s="38"/>
    </row>
    <row r="89" spans="1:24" s="150" customFormat="1" ht="21" customHeight="1" x14ac:dyDescent="0.35">
      <c r="A89" s="262" t="s">
        <v>60</v>
      </c>
      <c r="B89" s="260"/>
      <c r="C89" s="149"/>
      <c r="D89" s="232">
        <v>500</v>
      </c>
      <c r="E89" s="306" t="s">
        <v>61</v>
      </c>
      <c r="F89" s="306"/>
      <c r="G89" s="306"/>
      <c r="H89" s="306"/>
      <c r="I89" s="306"/>
      <c r="J89" s="306"/>
      <c r="K89" s="306"/>
      <c r="L89" s="306"/>
      <c r="M89" s="306"/>
      <c r="N89" s="306"/>
      <c r="O89" s="307"/>
      <c r="P89" s="172"/>
      <c r="Q89" s="38"/>
      <c r="R89" s="38"/>
      <c r="S89" s="38"/>
      <c r="T89" s="38"/>
      <c r="U89" s="38"/>
      <c r="V89" s="38"/>
      <c r="W89" s="38"/>
    </row>
    <row r="90" spans="1:24" s="150" customFormat="1" ht="21" customHeight="1" x14ac:dyDescent="0.35">
      <c r="A90" s="265" t="s">
        <v>62</v>
      </c>
      <c r="B90" s="266"/>
      <c r="C90" s="264"/>
      <c r="D90" s="263">
        <v>300</v>
      </c>
      <c r="E90" s="308" t="s">
        <v>63</v>
      </c>
      <c r="F90" s="309"/>
      <c r="G90" s="309"/>
      <c r="H90" s="309"/>
      <c r="I90" s="309"/>
      <c r="J90" s="309"/>
      <c r="K90" s="309"/>
      <c r="L90" s="309"/>
      <c r="M90" s="309"/>
      <c r="N90" s="309"/>
      <c r="O90" s="310"/>
      <c r="P90" s="172"/>
      <c r="Q90" s="38"/>
      <c r="R90" s="38"/>
      <c r="S90" s="38"/>
      <c r="T90" s="38"/>
      <c r="U90" s="38"/>
      <c r="V90" s="38"/>
      <c r="W90" s="38"/>
    </row>
    <row r="91" spans="1:24" s="150" customFormat="1" ht="21" customHeight="1" x14ac:dyDescent="0.35">
      <c r="A91" s="262" t="s">
        <v>64</v>
      </c>
      <c r="B91" s="260"/>
      <c r="C91" s="149"/>
      <c r="D91" s="232">
        <v>2400</v>
      </c>
      <c r="E91" s="305" t="s">
        <v>254</v>
      </c>
      <c r="F91" s="306"/>
      <c r="G91" s="306"/>
      <c r="H91" s="306"/>
      <c r="I91" s="306"/>
      <c r="J91" s="306"/>
      <c r="K91" s="306"/>
      <c r="L91" s="306"/>
      <c r="M91" s="306"/>
      <c r="N91" s="306"/>
      <c r="O91" s="307"/>
      <c r="P91" s="172"/>
      <c r="Q91" s="38"/>
      <c r="R91" s="38"/>
      <c r="S91" s="38"/>
      <c r="T91" s="38"/>
      <c r="U91" s="38"/>
      <c r="V91" s="38"/>
      <c r="W91" s="38"/>
    </row>
    <row r="92" spans="1:24" s="150" customFormat="1" ht="21" customHeight="1" x14ac:dyDescent="0.35">
      <c r="A92" s="262" t="s">
        <v>65</v>
      </c>
      <c r="B92" s="260"/>
      <c r="C92" s="149"/>
      <c r="D92" s="232">
        <v>0</v>
      </c>
      <c r="E92" s="305" t="s">
        <v>255</v>
      </c>
      <c r="F92" s="306"/>
      <c r="G92" s="306"/>
      <c r="H92" s="306"/>
      <c r="I92" s="306"/>
      <c r="J92" s="306"/>
      <c r="K92" s="306"/>
      <c r="L92" s="306"/>
      <c r="M92" s="306"/>
      <c r="N92" s="306"/>
      <c r="O92" s="307"/>
      <c r="P92" s="172"/>
      <c r="Q92" s="38"/>
      <c r="R92" s="38"/>
      <c r="S92" s="38"/>
      <c r="T92" s="38"/>
      <c r="U92" s="38"/>
      <c r="V92" s="38"/>
      <c r="W92" s="38"/>
    </row>
    <row r="93" spans="1:24" s="150" customFormat="1" ht="21" customHeight="1" x14ac:dyDescent="0.35">
      <c r="A93" s="262" t="s">
        <v>66</v>
      </c>
      <c r="B93" s="260"/>
      <c r="C93" s="149"/>
      <c r="D93" s="232">
        <v>0</v>
      </c>
      <c r="E93" s="305" t="s">
        <v>67</v>
      </c>
      <c r="F93" s="306"/>
      <c r="G93" s="306"/>
      <c r="H93" s="306"/>
      <c r="I93" s="306"/>
      <c r="J93" s="306"/>
      <c r="K93" s="306"/>
      <c r="L93" s="306"/>
      <c r="M93" s="306"/>
      <c r="N93" s="306"/>
      <c r="O93" s="307"/>
      <c r="P93" s="172"/>
      <c r="Q93" s="38"/>
      <c r="R93" s="38"/>
      <c r="S93" s="38"/>
      <c r="T93" s="38"/>
      <c r="U93" s="38"/>
      <c r="V93" s="38"/>
      <c r="W93" s="38"/>
    </row>
    <row r="94" spans="1:24" s="150" customFormat="1" ht="21" customHeight="1" x14ac:dyDescent="0.35">
      <c r="A94" s="262" t="s">
        <v>68</v>
      </c>
      <c r="B94" s="260"/>
      <c r="C94" s="149"/>
      <c r="D94" s="232">
        <v>0</v>
      </c>
      <c r="E94" s="306" t="s">
        <v>69</v>
      </c>
      <c r="F94" s="306"/>
      <c r="G94" s="306"/>
      <c r="H94" s="306"/>
      <c r="I94" s="306"/>
      <c r="J94" s="306"/>
      <c r="K94" s="306"/>
      <c r="L94" s="306"/>
      <c r="M94" s="306"/>
      <c r="N94" s="306"/>
      <c r="O94" s="307"/>
      <c r="P94" s="172"/>
      <c r="Q94" s="38"/>
      <c r="R94" s="38"/>
      <c r="S94" s="38"/>
      <c r="T94" s="38"/>
      <c r="U94" s="38"/>
      <c r="V94" s="38"/>
      <c r="W94" s="38"/>
    </row>
    <row r="95" spans="1:24" s="150" customFormat="1" ht="21" customHeight="1" x14ac:dyDescent="0.35">
      <c r="A95" s="262" t="s">
        <v>70</v>
      </c>
      <c r="B95" s="260"/>
      <c r="C95" s="149"/>
      <c r="D95" s="232">
        <v>520</v>
      </c>
      <c r="E95" s="305" t="s">
        <v>71</v>
      </c>
      <c r="F95" s="306"/>
      <c r="G95" s="306"/>
      <c r="H95" s="306"/>
      <c r="I95" s="306"/>
      <c r="J95" s="306"/>
      <c r="K95" s="306"/>
      <c r="L95" s="306"/>
      <c r="M95" s="306"/>
      <c r="N95" s="306"/>
      <c r="O95" s="307"/>
      <c r="P95" s="172"/>
      <c r="Q95" s="38"/>
      <c r="R95" s="38"/>
      <c r="S95" s="38"/>
      <c r="T95" s="38"/>
      <c r="U95" s="38"/>
      <c r="V95" s="38"/>
      <c r="W95" s="38"/>
    </row>
    <row r="96" spans="1:24" s="150" customFormat="1" ht="21" customHeight="1" x14ac:dyDescent="0.35">
      <c r="A96" s="267" t="s">
        <v>72</v>
      </c>
      <c r="B96" s="268"/>
      <c r="C96" s="269"/>
      <c r="D96" s="270"/>
      <c r="E96" s="338" t="s">
        <v>256</v>
      </c>
      <c r="F96" s="338"/>
      <c r="G96" s="338"/>
      <c r="H96" s="338"/>
      <c r="I96" s="338"/>
      <c r="J96" s="338"/>
      <c r="K96" s="338"/>
      <c r="L96" s="338"/>
      <c r="M96" s="338"/>
      <c r="N96" s="338"/>
      <c r="O96" s="339"/>
      <c r="P96" s="172"/>
      <c r="Q96" s="38"/>
      <c r="R96" s="38"/>
      <c r="S96" s="38"/>
      <c r="T96" s="38"/>
      <c r="U96" s="38"/>
      <c r="V96" s="38"/>
      <c r="W96" s="38"/>
    </row>
    <row r="97" spans="1:31" s="149" customFormat="1" ht="15.65" customHeight="1" x14ac:dyDescent="0.35">
      <c r="A97" s="150"/>
      <c r="B97" s="341" t="s">
        <v>73</v>
      </c>
      <c r="C97" s="341"/>
      <c r="D97" s="232">
        <v>0</v>
      </c>
      <c r="E97" s="314"/>
      <c r="F97" s="314"/>
      <c r="G97" s="314"/>
      <c r="H97" s="314"/>
      <c r="I97" s="314"/>
      <c r="J97" s="314"/>
      <c r="K97" s="314"/>
      <c r="L97" s="314"/>
      <c r="M97" s="314"/>
      <c r="N97" s="314"/>
      <c r="O97" s="340"/>
      <c r="P97" s="172"/>
      <c r="Q97" s="38"/>
      <c r="R97" s="38"/>
      <c r="S97" s="38"/>
      <c r="T97" s="38"/>
      <c r="U97" s="38"/>
      <c r="V97" s="38"/>
      <c r="W97" s="38"/>
    </row>
    <row r="98" spans="1:31" s="149" customFormat="1" ht="15.65" customHeight="1" x14ac:dyDescent="0.35">
      <c r="A98" s="150"/>
      <c r="B98" s="341" t="s">
        <v>74</v>
      </c>
      <c r="C98" s="341"/>
      <c r="D98" s="232">
        <v>0</v>
      </c>
      <c r="E98" s="314"/>
      <c r="F98" s="314"/>
      <c r="G98" s="314"/>
      <c r="H98" s="314"/>
      <c r="I98" s="314"/>
      <c r="J98" s="314"/>
      <c r="K98" s="314"/>
      <c r="L98" s="314"/>
      <c r="M98" s="314"/>
      <c r="N98" s="314"/>
      <c r="O98" s="340"/>
      <c r="P98" s="172"/>
      <c r="Q98" s="38"/>
      <c r="R98" s="38"/>
      <c r="S98" s="38"/>
      <c r="T98" s="38"/>
      <c r="U98" s="38"/>
      <c r="V98" s="38"/>
      <c r="W98" s="38"/>
    </row>
    <row r="99" spans="1:31" s="144" customFormat="1" ht="8.15" customHeight="1" thickBot="1" x14ac:dyDescent="0.4">
      <c r="A99" s="271"/>
      <c r="B99" s="271"/>
      <c r="C99" s="271"/>
      <c r="D99" s="272"/>
      <c r="E99" s="309"/>
      <c r="F99" s="309"/>
      <c r="G99" s="309"/>
      <c r="H99" s="309"/>
      <c r="I99" s="309"/>
      <c r="J99" s="309"/>
      <c r="K99" s="309"/>
      <c r="L99" s="309"/>
      <c r="M99" s="309"/>
      <c r="N99" s="309"/>
      <c r="O99" s="310"/>
      <c r="P99" s="172"/>
      <c r="Q99" s="38"/>
      <c r="R99" s="38"/>
      <c r="S99" s="38"/>
      <c r="T99" s="38"/>
      <c r="U99" s="38"/>
      <c r="V99" s="38"/>
      <c r="W99" s="38"/>
    </row>
    <row r="100" spans="1:31" s="40" customFormat="1" ht="9.65" customHeight="1" thickBot="1" x14ac:dyDescent="0.4">
      <c r="A100" s="124"/>
      <c r="B100" s="223"/>
      <c r="R100" s="41"/>
      <c r="S100" s="41"/>
      <c r="T100" s="41"/>
      <c r="U100" s="41"/>
      <c r="V100" s="41"/>
      <c r="W100" s="41"/>
    </row>
    <row r="101" spans="1:31" s="48" customFormat="1" ht="27.65" customHeight="1" x14ac:dyDescent="0.35">
      <c r="A101" s="125" t="s">
        <v>75</v>
      </c>
      <c r="B101" s="46"/>
      <c r="C101" s="46"/>
      <c r="D101" s="47"/>
      <c r="E101" s="47"/>
      <c r="F101" s="127"/>
      <c r="H101" s="47"/>
      <c r="I101" s="47"/>
      <c r="J101" s="47"/>
      <c r="K101" s="47"/>
      <c r="L101" s="47"/>
    </row>
    <row r="102" spans="1:31" s="12" customFormat="1" ht="17.5" customHeight="1" x14ac:dyDescent="0.35">
      <c r="A102" s="273" t="s">
        <v>76</v>
      </c>
      <c r="B102" s="30"/>
      <c r="C102" s="122"/>
      <c r="D102" s="131">
        <v>2</v>
      </c>
      <c r="E102" s="337" t="s">
        <v>77</v>
      </c>
      <c r="F102" s="337"/>
      <c r="G102" s="337"/>
      <c r="H102" s="337"/>
      <c r="I102" s="337"/>
      <c r="J102" s="337"/>
      <c r="K102" s="337"/>
      <c r="L102" s="337"/>
      <c r="M102" s="337"/>
      <c r="N102" s="337"/>
      <c r="O102" s="337"/>
      <c r="P102" s="172"/>
      <c r="Q102" s="38"/>
      <c r="R102" s="38"/>
      <c r="S102" s="38"/>
      <c r="T102" s="38"/>
    </row>
    <row r="103" spans="1:31" s="12" customFormat="1" ht="17.5" customHeight="1" x14ac:dyDescent="0.35">
      <c r="A103" s="273" t="s">
        <v>78</v>
      </c>
      <c r="B103" s="30"/>
      <c r="C103" s="122"/>
      <c r="D103" s="132">
        <v>4</v>
      </c>
      <c r="E103" s="337" t="s">
        <v>79</v>
      </c>
      <c r="F103" s="337"/>
      <c r="G103" s="337"/>
      <c r="H103" s="337"/>
      <c r="I103" s="337"/>
      <c r="J103" s="337"/>
      <c r="K103" s="337"/>
      <c r="L103" s="337"/>
      <c r="M103" s="337"/>
      <c r="N103" s="337"/>
      <c r="O103" s="337"/>
      <c r="P103" s="172"/>
      <c r="Q103" s="38"/>
      <c r="R103" s="38"/>
      <c r="S103" s="38"/>
      <c r="T103" s="38"/>
      <c r="U103" s="38"/>
      <c r="V103" s="38"/>
      <c r="W103" s="38"/>
    </row>
    <row r="104" spans="1:31" s="12" customFormat="1" ht="17.5" customHeight="1" x14ac:dyDescent="0.35">
      <c r="A104" s="273" t="s">
        <v>80</v>
      </c>
      <c r="B104" s="30"/>
      <c r="C104" s="122"/>
      <c r="D104" s="132">
        <v>60</v>
      </c>
      <c r="E104" s="337" t="s">
        <v>81</v>
      </c>
      <c r="F104" s="337"/>
      <c r="G104" s="337"/>
      <c r="H104" s="337"/>
      <c r="I104" s="337"/>
      <c r="J104" s="337"/>
      <c r="K104" s="337"/>
      <c r="L104" s="337"/>
      <c r="M104" s="337"/>
      <c r="N104" s="337"/>
      <c r="O104" s="337"/>
      <c r="P104" s="172"/>
      <c r="Q104" s="38"/>
      <c r="R104" s="38"/>
      <c r="S104" s="38"/>
      <c r="T104" s="38"/>
      <c r="U104" s="38"/>
      <c r="V104" s="38"/>
      <c r="W104" s="38"/>
    </row>
    <row r="105" spans="1:31" s="12" customFormat="1" ht="17.5" customHeight="1" x14ac:dyDescent="0.35">
      <c r="A105" s="273" t="s">
        <v>82</v>
      </c>
      <c r="B105" s="30"/>
      <c r="C105" s="122"/>
      <c r="D105" s="133">
        <v>0.4</v>
      </c>
      <c r="E105" s="337" t="s">
        <v>83</v>
      </c>
      <c r="F105" s="337"/>
      <c r="G105" s="337"/>
      <c r="H105" s="337"/>
      <c r="I105" s="337"/>
      <c r="J105" s="337"/>
      <c r="K105" s="337"/>
      <c r="L105" s="337"/>
      <c r="M105" s="337"/>
      <c r="N105" s="337"/>
      <c r="O105" s="337"/>
      <c r="P105" s="172"/>
      <c r="Q105" s="38"/>
      <c r="R105" s="38"/>
      <c r="S105" s="38"/>
      <c r="T105" s="38"/>
      <c r="U105" s="38"/>
      <c r="V105" s="38"/>
      <c r="W105" s="38"/>
    </row>
    <row r="106" spans="1:31" s="12" customFormat="1" ht="27" customHeight="1" x14ac:dyDescent="0.35">
      <c r="A106" s="273" t="s">
        <v>84</v>
      </c>
      <c r="B106" s="30"/>
      <c r="C106" s="122"/>
      <c r="D106" s="132">
        <v>0</v>
      </c>
      <c r="E106" s="337" t="s">
        <v>85</v>
      </c>
      <c r="F106" s="337"/>
      <c r="G106" s="337"/>
      <c r="H106" s="337"/>
      <c r="I106" s="337"/>
      <c r="J106" s="337"/>
      <c r="K106" s="337"/>
      <c r="L106" s="337"/>
      <c r="M106" s="337"/>
      <c r="N106" s="337"/>
      <c r="O106" s="337"/>
      <c r="P106" s="172"/>
      <c r="Q106" s="38"/>
      <c r="R106" s="38"/>
      <c r="S106" s="38"/>
      <c r="T106" s="38"/>
      <c r="U106" s="38"/>
      <c r="V106" s="38"/>
      <c r="W106" s="38"/>
    </row>
    <row r="107" spans="1:31" s="293" customFormat="1" ht="15" thickBot="1" x14ac:dyDescent="0.4">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row>
    <row r="108" spans="1:31" x14ac:dyDescent="0.35">
      <c r="B108" s="12"/>
      <c r="C108" s="12"/>
      <c r="D108" s="12"/>
      <c r="E108" s="12"/>
      <c r="F108" s="12"/>
      <c r="G108" s="12"/>
      <c r="K108" s="12"/>
      <c r="M108" s="12"/>
      <c r="N108" s="12"/>
      <c r="O108" s="12"/>
      <c r="P108" s="12"/>
      <c r="Q108" s="12"/>
      <c r="R108" s="12"/>
      <c r="S108" s="12"/>
      <c r="T108" s="12"/>
    </row>
    <row r="109" spans="1:31" x14ac:dyDescent="0.35">
      <c r="B109" s="12"/>
      <c r="C109" s="12"/>
      <c r="D109" s="12"/>
      <c r="E109" s="12"/>
      <c r="F109" s="12"/>
      <c r="G109" s="12"/>
      <c r="K109" s="12"/>
      <c r="M109" s="12"/>
      <c r="N109" s="12"/>
      <c r="O109" s="12"/>
      <c r="P109" s="12"/>
      <c r="Q109" s="12"/>
      <c r="R109" s="12"/>
      <c r="S109" s="12"/>
      <c r="T109" s="12"/>
    </row>
    <row r="110" spans="1:31" x14ac:dyDescent="0.35">
      <c r="B110" s="12"/>
      <c r="C110" s="12"/>
      <c r="D110" s="12"/>
      <c r="E110" s="12"/>
      <c r="F110" s="12"/>
      <c r="G110" s="12"/>
      <c r="K110" s="12"/>
      <c r="M110" s="12"/>
      <c r="N110" s="12"/>
      <c r="O110" s="12"/>
      <c r="P110" s="12"/>
      <c r="Q110" s="12"/>
      <c r="R110" s="12"/>
      <c r="S110" s="12"/>
      <c r="T110" s="12"/>
    </row>
    <row r="111" spans="1:31" x14ac:dyDescent="0.35">
      <c r="B111" s="12"/>
      <c r="C111" s="12"/>
      <c r="D111" s="12"/>
      <c r="E111" s="12"/>
      <c r="F111" s="12"/>
      <c r="G111" s="12"/>
      <c r="K111" s="12"/>
      <c r="M111" s="12"/>
      <c r="N111" s="12"/>
      <c r="O111" s="12"/>
      <c r="P111" s="12"/>
      <c r="Q111" s="12"/>
      <c r="R111" s="12"/>
      <c r="S111" s="12"/>
      <c r="T111" s="12"/>
    </row>
    <row r="112" spans="1:31" x14ac:dyDescent="0.35">
      <c r="B112" s="12"/>
      <c r="C112" s="12"/>
      <c r="D112" s="12"/>
      <c r="E112" s="12"/>
      <c r="F112" s="12"/>
      <c r="G112" s="12"/>
      <c r="K112" s="12"/>
      <c r="M112" s="12"/>
      <c r="N112" s="12"/>
      <c r="O112" s="12"/>
      <c r="P112" s="12"/>
      <c r="Q112" s="12"/>
      <c r="R112" s="12"/>
      <c r="S112" s="12"/>
      <c r="T112" s="12"/>
    </row>
    <row r="113" spans="2:20" x14ac:dyDescent="0.35">
      <c r="B113" s="12"/>
      <c r="C113" s="12"/>
      <c r="D113" s="12"/>
      <c r="E113" s="12"/>
      <c r="F113" s="12"/>
      <c r="G113" s="12"/>
      <c r="K113" s="12"/>
      <c r="M113" s="12"/>
      <c r="N113" s="12"/>
      <c r="O113" s="12"/>
      <c r="P113" s="12"/>
      <c r="Q113" s="12"/>
      <c r="R113" s="12"/>
      <c r="S113" s="12"/>
      <c r="T113" s="12"/>
    </row>
    <row r="114" spans="2:20" x14ac:dyDescent="0.35">
      <c r="B114" s="12"/>
      <c r="C114" s="12"/>
      <c r="D114" s="12"/>
      <c r="E114" s="12"/>
      <c r="F114" s="12"/>
      <c r="G114" s="12"/>
      <c r="K114" s="12"/>
      <c r="M114" s="12"/>
      <c r="N114" s="12"/>
      <c r="O114" s="12"/>
      <c r="P114" s="12"/>
      <c r="Q114" s="12"/>
      <c r="R114" s="12"/>
      <c r="S114" s="12"/>
      <c r="T114" s="12"/>
    </row>
    <row r="115" spans="2:20" x14ac:dyDescent="0.35">
      <c r="B115" s="12"/>
      <c r="C115" s="12"/>
      <c r="D115" s="12"/>
      <c r="E115" s="12"/>
      <c r="F115" s="12"/>
      <c r="G115" s="12"/>
      <c r="K115" s="12"/>
      <c r="M115" s="12"/>
      <c r="N115" s="12"/>
      <c r="O115" s="12"/>
      <c r="P115" s="12"/>
      <c r="Q115" s="12"/>
      <c r="R115" s="12"/>
      <c r="S115" s="12"/>
      <c r="T115" s="12"/>
    </row>
    <row r="116" spans="2:20" x14ac:dyDescent="0.35">
      <c r="B116" s="12"/>
      <c r="C116" s="12"/>
      <c r="D116" s="12"/>
      <c r="E116" s="12"/>
      <c r="F116" s="12"/>
      <c r="G116" s="12"/>
      <c r="K116" s="12"/>
      <c r="M116" s="12"/>
      <c r="N116" s="12"/>
      <c r="O116" s="12"/>
      <c r="P116" s="12"/>
      <c r="Q116" s="12"/>
      <c r="R116" s="12"/>
      <c r="S116" s="12"/>
      <c r="T116" s="12"/>
    </row>
    <row r="118" spans="2:20" x14ac:dyDescent="0.35">
      <c r="K118" s="25"/>
      <c r="P118" s="1"/>
    </row>
    <row r="119" spans="2:20" x14ac:dyDescent="0.35">
      <c r="K119" s="25"/>
      <c r="P119" s="1"/>
    </row>
    <row r="120" spans="2:20" x14ac:dyDescent="0.35">
      <c r="K120" s="25"/>
      <c r="P120" s="1"/>
    </row>
    <row r="121" spans="2:20" x14ac:dyDescent="0.35">
      <c r="K121" s="25"/>
      <c r="P121" s="1"/>
    </row>
    <row r="122" spans="2:20" x14ac:dyDescent="0.35">
      <c r="K122" s="25"/>
      <c r="P122" s="1"/>
    </row>
    <row r="123" spans="2:20" x14ac:dyDescent="0.35">
      <c r="K123" s="25"/>
      <c r="P123" s="1"/>
    </row>
    <row r="124" spans="2:20" x14ac:dyDescent="0.35">
      <c r="K124" s="25"/>
      <c r="P124" s="1"/>
    </row>
    <row r="125" spans="2:20" x14ac:dyDescent="0.35">
      <c r="K125" s="25"/>
      <c r="P125" s="1"/>
    </row>
    <row r="126" spans="2:20" x14ac:dyDescent="0.35">
      <c r="K126" s="25"/>
      <c r="P126" s="1"/>
    </row>
    <row r="127" spans="2:20" x14ac:dyDescent="0.35">
      <c r="K127" s="25"/>
      <c r="P127" s="1"/>
    </row>
  </sheetData>
  <mergeCells count="56">
    <mergeCell ref="A3:O4"/>
    <mergeCell ref="A5:O5"/>
    <mergeCell ref="E103:O103"/>
    <mergeCell ref="E104:O104"/>
    <mergeCell ref="E105:O105"/>
    <mergeCell ref="E11:O11"/>
    <mergeCell ref="E12:O12"/>
    <mergeCell ref="E67:O70"/>
    <mergeCell ref="B68:C68"/>
    <mergeCell ref="B69:C69"/>
    <mergeCell ref="E24:O26"/>
    <mergeCell ref="E39:O42"/>
    <mergeCell ref="D8:O8"/>
    <mergeCell ref="E43:O45"/>
    <mergeCell ref="B44:C44"/>
    <mergeCell ref="E46:O48"/>
    <mergeCell ref="E106:O106"/>
    <mergeCell ref="E96:O99"/>
    <mergeCell ref="E102:O102"/>
    <mergeCell ref="B76:C76"/>
    <mergeCell ref="E75:O77"/>
    <mergeCell ref="E92:O92"/>
    <mergeCell ref="E93:O93"/>
    <mergeCell ref="E94:O94"/>
    <mergeCell ref="E95:O95"/>
    <mergeCell ref="B97:C97"/>
    <mergeCell ref="B98:C98"/>
    <mergeCell ref="E78:O80"/>
    <mergeCell ref="B79:C79"/>
    <mergeCell ref="E81:O84"/>
    <mergeCell ref="B47:C47"/>
    <mergeCell ref="E9:O9"/>
    <mergeCell ref="E10:O10"/>
    <mergeCell ref="E13:O13"/>
    <mergeCell ref="B72:C72"/>
    <mergeCell ref="E27:O30"/>
    <mergeCell ref="E31:O34"/>
    <mergeCell ref="E35:O38"/>
    <mergeCell ref="F16:O16"/>
    <mergeCell ref="F17:O20"/>
    <mergeCell ref="B25:C25"/>
    <mergeCell ref="B73:C73"/>
    <mergeCell ref="E49:O52"/>
    <mergeCell ref="E53:O56"/>
    <mergeCell ref="E57:O60"/>
    <mergeCell ref="B58:C58"/>
    <mergeCell ref="B59:C59"/>
    <mergeCell ref="E71:O74"/>
    <mergeCell ref="E63:O66"/>
    <mergeCell ref="B64:C64"/>
    <mergeCell ref="B65:C65"/>
    <mergeCell ref="E87:O87"/>
    <mergeCell ref="E88:O88"/>
    <mergeCell ref="E89:O89"/>
    <mergeCell ref="E90:O90"/>
    <mergeCell ref="E91:O91"/>
  </mergeCells>
  <phoneticPr fontId="26" type="noConversion"/>
  <dataValidations count="7">
    <dataValidation allowBlank="1" showInputMessage="1" showErrorMessage="1" promptTitle="Estimated Monthly Rate" prompt="Estimated monthly sponsorship rate, typically $65_x000a_" sqref="D106:E106" xr:uid="{FB94C364-6D09-4499-83EA-81603E56F548}"/>
    <dataValidation allowBlank="1" showErrorMessage="1" prompt="_x000a_" sqref="D102:E102" xr:uid="{78D23B52-4E31-48FC-8BB7-56893785A61D}"/>
    <dataValidation allowBlank="1" showInputMessage="1" showErrorMessage="1" promptTitle="Cost per load" prompt="Cost per load, typically $4 ($2 for wash, $2 for dry)_x000a_" sqref="D103:E103" xr:uid="{23F215AE-904F-4C31-B6E5-DFDA9EEB0251}"/>
    <dataValidation allowBlank="1" showInputMessage="1" showErrorMessage="1" promptTitle="Monthly fee" prompt="Monthly fee for use of high-energy appliances (e.g. air conditioner, etc.)" sqref="D104:E104" xr:uid="{8A83A6ED-7044-47C6-9F32-6629115416D4}"/>
    <dataValidation type="list" allowBlank="1" showInputMessage="1" showErrorMessage="1" sqref="D12" xr:uid="{98639E4D-3CBE-4155-A3BB-08941FB1E2B6}">
      <formula1>"Free Rent, Half Rent, No Compensation"</formula1>
    </dataValidation>
    <dataValidation allowBlank="1" showInputMessage="1" showErrorMessage="1" promptTitle="Usage rate" prompt="Rate of usage of high-energy appliances (typically 40%, if central A/C, typically none)" sqref="D105:E106" xr:uid="{E2A290A3-AEE3-40A2-81E6-764ACFA8482C}"/>
    <dataValidation type="list" allowBlank="1" showInputMessage="1" showErrorMessage="1" sqref="D69 D73 D65 D87" xr:uid="{E2116A2A-058F-42CE-904E-250D21B93788}">
      <formula1>"Yes, No"</formula1>
    </dataValidation>
  </dataValidations>
  <hyperlinks>
    <hyperlink ref="A5" r:id="rId1" xr:uid="{8E8F86AA-E1E2-43E9-B5EA-7CF14AA31EF9}"/>
  </hyperlinks>
  <pageMargins left="0.25" right="0.25" top="0.5" bottom="0.5" header="0" footer="0"/>
  <pageSetup scale="5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609C-F05B-439B-ACEA-3A62A7551A1C}">
  <sheetPr>
    <pageSetUpPr fitToPage="1"/>
  </sheetPr>
  <dimension ref="A1:AF53"/>
  <sheetViews>
    <sheetView zoomScale="115" zoomScaleNormal="115" workbookViewId="0">
      <selection activeCell="D22" sqref="D22"/>
    </sheetView>
  </sheetViews>
  <sheetFormatPr defaultColWidth="8.7265625" defaultRowHeight="14.5" x14ac:dyDescent="0.35"/>
  <cols>
    <col min="1" max="1" width="1.453125" style="12" customWidth="1"/>
    <col min="2" max="2" width="16.453125" style="1" customWidth="1"/>
    <col min="3" max="3" width="5.54296875" style="1" customWidth="1"/>
    <col min="4" max="4" width="3.1796875" style="1" customWidth="1"/>
    <col min="5" max="5" width="4.453125" style="1" customWidth="1"/>
    <col min="6" max="6" width="10.7265625" style="1" customWidth="1"/>
    <col min="7" max="7" width="3.54296875" style="12" customWidth="1"/>
    <col min="8" max="8" width="8.81640625" style="12" customWidth="1"/>
    <col min="9" max="9" width="2" style="12" customWidth="1"/>
    <col min="10" max="10" width="8.26953125" style="39" customWidth="1"/>
    <col min="11" max="11" width="2.453125" style="12" customWidth="1"/>
    <col min="12" max="12" width="8" style="1" customWidth="1"/>
    <col min="13" max="13" width="14.81640625" style="1" customWidth="1"/>
    <col min="14" max="14" width="5.81640625" style="1" customWidth="1"/>
    <col min="15" max="15" width="6.453125" style="1" customWidth="1"/>
    <col min="16" max="16" width="3.81640625" style="1" customWidth="1"/>
    <col min="17" max="17" width="0.81640625" style="12" customWidth="1"/>
    <col min="18" max="32" width="8.7265625" style="12"/>
    <col min="33" max="16384" width="8.7265625" style="1"/>
  </cols>
  <sheetData>
    <row r="1" spans="1:22" s="42" customFormat="1" ht="15" customHeight="1" x14ac:dyDescent="0.35">
      <c r="A1" s="355" t="str">
        <f>Assumptions!A1</f>
        <v>12 Sample Street, Anytown, MA</v>
      </c>
      <c r="B1" s="356"/>
      <c r="C1" s="356"/>
      <c r="D1" s="356"/>
      <c r="E1" s="356"/>
      <c r="F1" s="356"/>
      <c r="G1" s="303"/>
      <c r="H1" s="303"/>
      <c r="I1" s="303"/>
      <c r="J1" s="362" t="s">
        <v>270</v>
      </c>
      <c r="K1" s="362"/>
      <c r="L1" s="362"/>
      <c r="M1" s="362"/>
      <c r="N1" s="362"/>
      <c r="O1" s="362"/>
      <c r="P1" s="363"/>
      <c r="Q1" s="38"/>
      <c r="R1" s="38"/>
      <c r="S1" s="38"/>
      <c r="T1" s="38"/>
      <c r="U1" s="38"/>
      <c r="V1" s="38"/>
    </row>
    <row r="2" spans="1:22" s="42" customFormat="1" ht="15" customHeight="1" x14ac:dyDescent="0.35">
      <c r="A2" s="357"/>
      <c r="B2" s="358"/>
      <c r="C2" s="358"/>
      <c r="D2" s="358"/>
      <c r="E2" s="358"/>
      <c r="F2" s="358"/>
      <c r="G2" s="304"/>
      <c r="H2" s="304"/>
      <c r="I2" s="304"/>
      <c r="J2" s="364"/>
      <c r="K2" s="364"/>
      <c r="L2" s="364"/>
      <c r="M2" s="364"/>
      <c r="N2" s="364"/>
      <c r="O2" s="364"/>
      <c r="P2" s="365"/>
    </row>
    <row r="3" spans="1:22" s="38" customFormat="1" ht="15.5" customHeight="1" x14ac:dyDescent="0.35">
      <c r="A3" s="175"/>
      <c r="B3" s="35"/>
      <c r="C3" s="35"/>
      <c r="D3" s="204"/>
      <c r="E3" s="35"/>
      <c r="F3" s="35"/>
      <c r="G3" s="148"/>
      <c r="H3" s="148"/>
      <c r="I3" s="148"/>
      <c r="J3" s="148"/>
      <c r="K3" s="148"/>
      <c r="L3" s="148"/>
      <c r="M3" s="7"/>
      <c r="N3" s="12"/>
      <c r="O3" s="176"/>
      <c r="P3" s="198"/>
    </row>
    <row r="4" spans="1:22" s="38" customFormat="1" ht="15.5" customHeight="1" x14ac:dyDescent="0.35">
      <c r="A4" s="175"/>
      <c r="B4" s="4" t="s">
        <v>259</v>
      </c>
      <c r="C4" s="2"/>
      <c r="D4" s="295" t="s">
        <v>21</v>
      </c>
      <c r="E4" s="3"/>
      <c r="F4" s="296"/>
      <c r="G4" s="296"/>
      <c r="H4" s="296" t="s">
        <v>24</v>
      </c>
      <c r="I4" s="296"/>
      <c r="J4" s="297" t="s">
        <v>260</v>
      </c>
      <c r="K4" s="296"/>
      <c r="L4" s="296"/>
      <c r="M4" s="296"/>
      <c r="N4" s="296"/>
      <c r="O4" s="296"/>
      <c r="P4" s="198"/>
    </row>
    <row r="5" spans="1:22" s="38" customFormat="1" ht="15.5" customHeight="1" x14ac:dyDescent="0.35">
      <c r="A5" s="175"/>
      <c r="B5" s="7" t="s">
        <v>261</v>
      </c>
      <c r="C5" s="8"/>
      <c r="D5" s="300">
        <f>Assumptions!D21</f>
        <v>0</v>
      </c>
      <c r="E5" s="16" t="s">
        <v>262</v>
      </c>
      <c r="F5" s="8"/>
      <c r="H5" s="298">
        <f>J5*52/12</f>
        <v>0</v>
      </c>
      <c r="J5" s="298">
        <f>Assumptions!D16</f>
        <v>0</v>
      </c>
      <c r="K5" s="148"/>
      <c r="M5" s="7"/>
      <c r="N5" s="12"/>
      <c r="O5" s="176"/>
      <c r="P5" s="198"/>
    </row>
    <row r="6" spans="1:22" s="38" customFormat="1" ht="15.5" customHeight="1" x14ac:dyDescent="0.35">
      <c r="A6" s="175"/>
      <c r="B6" s="7" t="s">
        <v>263</v>
      </c>
      <c r="C6" s="8"/>
      <c r="D6" s="301">
        <f>Assumptions!E21</f>
        <v>0</v>
      </c>
      <c r="E6" s="16" t="s">
        <v>264</v>
      </c>
      <c r="F6" s="8"/>
      <c r="H6" s="298">
        <f>J6*52/12</f>
        <v>0</v>
      </c>
      <c r="J6" s="298">
        <f>Assumptions!E16</f>
        <v>0</v>
      </c>
      <c r="K6" s="148"/>
      <c r="M6" s="7"/>
      <c r="N6" s="12"/>
      <c r="O6" s="176"/>
      <c r="P6" s="198"/>
    </row>
    <row r="7" spans="1:22" s="38" customFormat="1" ht="15.5" customHeight="1" x14ac:dyDescent="0.35">
      <c r="A7" s="175"/>
      <c r="B7" s="16" t="s">
        <v>218</v>
      </c>
      <c r="C7" s="43"/>
      <c r="D7" s="302">
        <f>D5+D6</f>
        <v>0</v>
      </c>
      <c r="E7" s="10" t="s">
        <v>265</v>
      </c>
      <c r="F7" s="8"/>
      <c r="H7" s="8"/>
      <c r="J7" s="299"/>
      <c r="K7" s="148"/>
      <c r="M7" s="7"/>
      <c r="N7" s="12"/>
      <c r="O7" s="176"/>
      <c r="P7" s="198"/>
    </row>
    <row r="8" spans="1:22" s="38" customFormat="1" ht="8" customHeight="1" x14ac:dyDescent="0.35">
      <c r="A8" s="175"/>
      <c r="B8" s="16"/>
      <c r="C8" s="43"/>
      <c r="D8" s="43"/>
      <c r="E8" s="8"/>
      <c r="F8" s="8"/>
      <c r="H8" s="8"/>
      <c r="J8" s="299"/>
      <c r="K8" s="148"/>
      <c r="M8" s="7"/>
      <c r="N8" s="12"/>
      <c r="O8" s="176"/>
      <c r="P8" s="198"/>
    </row>
    <row r="9" spans="1:22" s="38" customFormat="1" ht="15.5" customHeight="1" x14ac:dyDescent="0.35">
      <c r="A9" s="175"/>
      <c r="B9" s="7" t="s">
        <v>237</v>
      </c>
      <c r="C9" s="360">
        <f>Assumptions!D9</f>
        <v>0.14000000000000001</v>
      </c>
      <c r="D9" s="360"/>
      <c r="E9" s="10" t="s">
        <v>266</v>
      </c>
      <c r="F9" s="8"/>
      <c r="H9" s="8"/>
      <c r="J9" s="299"/>
      <c r="K9" s="148"/>
      <c r="M9" s="7"/>
      <c r="N9" s="12"/>
      <c r="O9" s="176"/>
      <c r="P9" s="198"/>
    </row>
    <row r="10" spans="1:22" s="38" customFormat="1" ht="15.5" customHeight="1" x14ac:dyDescent="0.35">
      <c r="A10" s="175"/>
      <c r="B10" s="16" t="s">
        <v>148</v>
      </c>
      <c r="C10" s="361">
        <f>D7*(1-C9)</f>
        <v>0</v>
      </c>
      <c r="D10" s="361"/>
      <c r="E10" s="10" t="s">
        <v>267</v>
      </c>
      <c r="F10" s="8"/>
      <c r="H10" s="8"/>
      <c r="J10" s="299"/>
      <c r="K10" s="148"/>
      <c r="M10" s="7"/>
      <c r="N10" s="12"/>
      <c r="O10" s="176"/>
      <c r="P10" s="198"/>
    </row>
    <row r="11" spans="1:22" s="38" customFormat="1" ht="9.5" customHeight="1" x14ac:dyDescent="0.35">
      <c r="A11" s="175"/>
      <c r="B11" s="35"/>
      <c r="C11" s="35"/>
      <c r="D11" s="204"/>
      <c r="E11" s="35"/>
      <c r="F11" s="35"/>
      <c r="G11" s="148"/>
      <c r="H11" s="148"/>
      <c r="I11" s="148"/>
      <c r="J11" s="148"/>
      <c r="K11" s="148"/>
      <c r="L11" s="148"/>
      <c r="M11" s="7"/>
      <c r="N11" s="12"/>
      <c r="O11" s="176"/>
      <c r="P11" s="198"/>
    </row>
    <row r="12" spans="1:22" s="38" customFormat="1" ht="34.5" customHeight="1" x14ac:dyDescent="0.35">
      <c r="A12" s="175"/>
      <c r="B12" s="359" t="s">
        <v>88</v>
      </c>
      <c r="C12" s="359"/>
      <c r="D12" s="359"/>
      <c r="E12" s="359"/>
      <c r="F12" s="359"/>
      <c r="G12" s="359"/>
      <c r="H12" s="359"/>
      <c r="I12" s="359"/>
      <c r="J12" s="359"/>
      <c r="K12" s="359"/>
      <c r="L12" s="359"/>
      <c r="M12" s="359"/>
      <c r="N12" s="359"/>
      <c r="O12" s="359"/>
      <c r="P12" s="199"/>
    </row>
    <row r="13" spans="1:22" s="12" customFormat="1" ht="7.5" customHeight="1" x14ac:dyDescent="0.35">
      <c r="A13" s="177"/>
      <c r="O13" s="49"/>
      <c r="P13" s="178"/>
    </row>
    <row r="14" spans="1:22" x14ac:dyDescent="0.35">
      <c r="A14" s="179"/>
      <c r="B14" s="4" t="s">
        <v>89</v>
      </c>
      <c r="C14" s="2"/>
      <c r="D14" s="3"/>
      <c r="E14" s="3"/>
      <c r="F14" s="33" t="s">
        <v>42</v>
      </c>
      <c r="G14" s="33"/>
      <c r="H14" s="33" t="s">
        <v>24</v>
      </c>
      <c r="J14" s="4" t="s">
        <v>90</v>
      </c>
      <c r="K14" s="3"/>
      <c r="L14" s="3"/>
      <c r="M14" s="3"/>
      <c r="N14" s="3"/>
      <c r="O14" s="3"/>
      <c r="P14" s="181"/>
    </row>
    <row r="15" spans="1:22" s="12" customFormat="1" x14ac:dyDescent="0.35">
      <c r="A15" s="182"/>
      <c r="B15" s="16" t="s">
        <v>91</v>
      </c>
      <c r="C15" s="43"/>
      <c r="D15" s="43"/>
      <c r="E15" s="43"/>
      <c r="F15" s="17">
        <f>(Assumptions!D21*Assumptions!D16+Assumptions!E21*Assumptions!E16)*52</f>
        <v>0</v>
      </c>
      <c r="G15" s="8"/>
      <c r="H15" s="9">
        <f t="shared" ref="H15:H24" si="0">F15/12</f>
        <v>0</v>
      </c>
      <c r="I15" s="8"/>
      <c r="J15" s="10" t="s">
        <v>92</v>
      </c>
      <c r="K15" s="9"/>
      <c r="M15" s="183"/>
      <c r="N15" s="10"/>
      <c r="O15" s="10"/>
      <c r="P15" s="199"/>
    </row>
    <row r="16" spans="1:22" s="12" customFormat="1" x14ac:dyDescent="0.35">
      <c r="A16" s="182"/>
      <c r="B16" s="7" t="s">
        <v>93</v>
      </c>
      <c r="C16" s="8"/>
      <c r="D16" s="20"/>
      <c r="E16" s="184">
        <f>Assumptions!D11</f>
        <v>1</v>
      </c>
      <c r="F16" s="9">
        <f>(-IF(Assumptions!D12="Free Rent",(Assumptions!D16*52),IF(Assumptions!D12="Half Rent",(Assumptions!D16*52/2),IF(Assumptions!D12="No Compensation",0))))*E16</f>
        <v>0</v>
      </c>
      <c r="H16" s="9">
        <f t="shared" ref="H16" si="1">F16/12</f>
        <v>0</v>
      </c>
      <c r="J16" s="10" t="s">
        <v>94</v>
      </c>
      <c r="K16" s="9"/>
      <c r="M16" s="183"/>
      <c r="N16" s="183"/>
      <c r="O16" s="183"/>
      <c r="P16" s="200"/>
    </row>
    <row r="17" spans="1:16" s="12" customFormat="1" ht="16" x14ac:dyDescent="0.5">
      <c r="A17" s="182"/>
      <c r="B17" s="7" t="s">
        <v>95</v>
      </c>
      <c r="C17" s="8"/>
      <c r="D17" s="8"/>
      <c r="E17" s="185">
        <f>Assumptions!D9</f>
        <v>0.14000000000000001</v>
      </c>
      <c r="F17" s="14">
        <f>-F15*E17</f>
        <v>0</v>
      </c>
      <c r="H17" s="14">
        <f>F17/12</f>
        <v>0</v>
      </c>
      <c r="J17" s="10" t="s">
        <v>96</v>
      </c>
      <c r="K17" s="9"/>
      <c r="M17" s="183"/>
      <c r="N17" s="183"/>
      <c r="O17" s="183"/>
      <c r="P17" s="200"/>
    </row>
    <row r="18" spans="1:16" s="12" customFormat="1" x14ac:dyDescent="0.35">
      <c r="A18" s="182"/>
      <c r="B18" s="16" t="s">
        <v>97</v>
      </c>
      <c r="C18" s="43"/>
      <c r="D18" s="43"/>
      <c r="E18" s="43"/>
      <c r="F18" s="17">
        <f>SUM(F15:F17)</f>
        <v>0</v>
      </c>
      <c r="G18" s="8"/>
      <c r="H18" s="9">
        <f>F18/12</f>
        <v>0</v>
      </c>
      <c r="I18" s="8"/>
      <c r="J18" s="10"/>
      <c r="K18" s="9"/>
      <c r="M18" s="183"/>
      <c r="N18" s="10"/>
      <c r="O18" s="10"/>
      <c r="P18" s="199"/>
    </row>
    <row r="19" spans="1:16" s="12" customFormat="1" x14ac:dyDescent="0.35">
      <c r="A19" s="182"/>
      <c r="B19" s="15"/>
      <c r="C19" s="43"/>
      <c r="D19" s="43"/>
      <c r="E19" s="186"/>
      <c r="F19" s="17"/>
      <c r="H19" s="9"/>
      <c r="J19" s="10"/>
      <c r="K19" s="9"/>
      <c r="M19" s="183"/>
      <c r="N19" s="183"/>
      <c r="O19" s="183"/>
      <c r="P19" s="200"/>
    </row>
    <row r="20" spans="1:16" s="12" customFormat="1" x14ac:dyDescent="0.35">
      <c r="A20" s="182"/>
      <c r="B20" s="16" t="s">
        <v>98</v>
      </c>
      <c r="C20" s="43"/>
      <c r="D20" s="43"/>
      <c r="E20" s="186"/>
      <c r="F20" s="17"/>
      <c r="H20" s="9"/>
      <c r="J20" s="10"/>
      <c r="K20" s="9"/>
      <c r="M20" s="183"/>
      <c r="N20" s="183"/>
      <c r="O20" s="183"/>
      <c r="P20" s="200"/>
    </row>
    <row r="21" spans="1:16" s="12" customFormat="1" x14ac:dyDescent="0.35">
      <c r="A21" s="182"/>
      <c r="B21" s="7" t="s">
        <v>99</v>
      </c>
      <c r="C21" s="8"/>
      <c r="D21" s="8"/>
      <c r="E21" s="49"/>
      <c r="F21" s="9">
        <f>IF(C10&gt;1,((C10-1)*Assumptions!D10*Assumptions!D102),0)</f>
        <v>0</v>
      </c>
      <c r="G21" s="8"/>
      <c r="H21" s="9">
        <f>F21/12</f>
        <v>0</v>
      </c>
      <c r="I21" s="8"/>
      <c r="J21" s="10" t="s">
        <v>100</v>
      </c>
      <c r="K21" s="9"/>
      <c r="M21" s="183"/>
      <c r="N21" s="10"/>
      <c r="O21" s="10"/>
      <c r="P21" s="199"/>
    </row>
    <row r="22" spans="1:16" s="12" customFormat="1" x14ac:dyDescent="0.35">
      <c r="A22" s="182"/>
      <c r="B22" s="7" t="s">
        <v>101</v>
      </c>
      <c r="C22" s="8"/>
      <c r="D22" s="8"/>
      <c r="E22" s="8"/>
      <c r="F22" s="9">
        <f>C10*Assumptions!D103*52*0.9</f>
        <v>0</v>
      </c>
      <c r="H22" s="9">
        <f t="shared" si="0"/>
        <v>0</v>
      </c>
      <c r="J22" s="10" t="s">
        <v>102</v>
      </c>
      <c r="K22" s="9"/>
      <c r="M22" s="183"/>
      <c r="P22" s="178"/>
    </row>
    <row r="23" spans="1:16" s="12" customFormat="1" ht="16" x14ac:dyDescent="0.5">
      <c r="A23" s="182"/>
      <c r="B23" s="7" t="s">
        <v>103</v>
      </c>
      <c r="C23" s="13"/>
      <c r="D23" s="13"/>
      <c r="E23" s="187"/>
      <c r="F23" s="9">
        <f>C10*Assumptions!D105*Assumptions!D104*4</f>
        <v>0</v>
      </c>
      <c r="G23" s="8"/>
      <c r="H23" s="9">
        <f t="shared" si="0"/>
        <v>0</v>
      </c>
      <c r="I23" s="8"/>
      <c r="J23" s="10" t="s">
        <v>104</v>
      </c>
      <c r="K23" s="14"/>
      <c r="M23" s="183"/>
      <c r="N23" s="10"/>
      <c r="O23" s="10"/>
      <c r="P23" s="199"/>
    </row>
    <row r="24" spans="1:16" s="12" customFormat="1" ht="16" x14ac:dyDescent="0.5">
      <c r="A24" s="182"/>
      <c r="B24" s="7" t="s">
        <v>105</v>
      </c>
      <c r="C24" s="13"/>
      <c r="D24" s="13"/>
      <c r="E24" s="187"/>
      <c r="F24" s="14">
        <f>Assumptions!D106*12</f>
        <v>0</v>
      </c>
      <c r="G24" s="13"/>
      <c r="H24" s="14">
        <f t="shared" si="0"/>
        <v>0</v>
      </c>
      <c r="I24" s="8"/>
      <c r="J24" s="10"/>
      <c r="K24" s="14"/>
      <c r="M24" s="183"/>
      <c r="N24" s="10"/>
      <c r="O24" s="10"/>
      <c r="P24" s="199"/>
    </row>
    <row r="25" spans="1:16" ht="16" x14ac:dyDescent="0.5">
      <c r="A25" s="188"/>
      <c r="B25" s="23" t="s">
        <v>106</v>
      </c>
      <c r="C25" s="21"/>
      <c r="D25" s="21"/>
      <c r="E25" s="21"/>
      <c r="F25" s="22">
        <f>SUM(F18:F24)</f>
        <v>0</v>
      </c>
      <c r="G25" s="5"/>
      <c r="H25" s="22">
        <f>F25/12</f>
        <v>0</v>
      </c>
      <c r="I25" s="8"/>
      <c r="J25" s="10" t="s">
        <v>107</v>
      </c>
      <c r="K25" s="17"/>
      <c r="M25" s="12"/>
      <c r="N25" s="7"/>
      <c r="O25" s="7"/>
      <c r="P25" s="201"/>
    </row>
    <row r="26" spans="1:16" s="12" customFormat="1" x14ac:dyDescent="0.35">
      <c r="A26" s="182"/>
      <c r="J26" s="25"/>
      <c r="L26" s="8"/>
      <c r="N26" s="189"/>
      <c r="P26" s="178"/>
    </row>
    <row r="27" spans="1:16" x14ac:dyDescent="0.35">
      <c r="A27" s="179"/>
      <c r="B27" s="113" t="s">
        <v>108</v>
      </c>
      <c r="C27" s="3"/>
      <c r="D27" s="3"/>
      <c r="E27" s="6"/>
      <c r="F27" s="3"/>
      <c r="G27" s="3"/>
      <c r="H27" s="3"/>
      <c r="I27" s="3"/>
      <c r="J27" s="180" t="s">
        <v>109</v>
      </c>
      <c r="K27" s="8"/>
      <c r="L27" s="4" t="s">
        <v>110</v>
      </c>
      <c r="M27" s="3"/>
      <c r="N27" s="3"/>
      <c r="O27" s="3"/>
      <c r="P27" s="181"/>
    </row>
    <row r="28" spans="1:16" s="12" customFormat="1" ht="14.5" customHeight="1" x14ac:dyDescent="0.35">
      <c r="A28" s="192"/>
      <c r="B28" s="123" t="s">
        <v>113</v>
      </c>
      <c r="C28" s="43"/>
      <c r="D28" s="43"/>
      <c r="E28" s="103"/>
      <c r="F28" s="104">
        <f>H28*12</f>
        <v>0</v>
      </c>
      <c r="G28" s="8"/>
      <c r="H28" s="9">
        <f>IF(Assumptions!D29&gt;0,Assumptions!D29,(AVERAGE(Assumptions!B29:C29)))</f>
        <v>0</v>
      </c>
      <c r="I28" s="8"/>
      <c r="J28" s="24" t="e">
        <f t="shared" ref="J28:J36" si="2">H28/$H$25</f>
        <v>#DIV/0!</v>
      </c>
      <c r="K28" s="9"/>
      <c r="L28" s="191" t="s">
        <v>114</v>
      </c>
      <c r="M28" s="18"/>
      <c r="N28" s="7"/>
      <c r="O28" s="18"/>
      <c r="P28" s="201"/>
    </row>
    <row r="29" spans="1:16" s="12" customFormat="1" x14ac:dyDescent="0.35">
      <c r="A29" s="192"/>
      <c r="B29" s="123" t="s">
        <v>115</v>
      </c>
      <c r="C29" s="43"/>
      <c r="D29" s="43"/>
      <c r="E29" s="103"/>
      <c r="F29" s="104">
        <f t="shared" ref="F29:F30" si="3">H29*12</f>
        <v>0</v>
      </c>
      <c r="G29" s="9"/>
      <c r="H29" s="9">
        <f>IF(Assumptions!D33&gt;0,Assumptions!D33,(AVERAGE(Assumptions!B33:C33)))</f>
        <v>0</v>
      </c>
      <c r="I29" s="9"/>
      <c r="J29" s="24" t="e">
        <f t="shared" si="2"/>
        <v>#DIV/0!</v>
      </c>
      <c r="K29" s="9"/>
      <c r="L29" s="191" t="s">
        <v>114</v>
      </c>
      <c r="M29" s="18"/>
      <c r="N29" s="7"/>
      <c r="O29" s="18"/>
      <c r="P29" s="201"/>
    </row>
    <row r="30" spans="1:16" s="12" customFormat="1" x14ac:dyDescent="0.35">
      <c r="A30" s="192"/>
      <c r="B30" s="123" t="s">
        <v>116</v>
      </c>
      <c r="C30" s="43"/>
      <c r="D30" s="43"/>
      <c r="E30" s="103"/>
      <c r="F30" s="104">
        <f t="shared" si="3"/>
        <v>0</v>
      </c>
      <c r="G30" s="8"/>
      <c r="H30" s="9">
        <f>IF(Assumptions!D37&gt;0,Assumptions!D37,(AVERAGE(Assumptions!B37:C37)))</f>
        <v>0</v>
      </c>
      <c r="I30" s="8"/>
      <c r="J30" s="24" t="e">
        <f t="shared" si="2"/>
        <v>#DIV/0!</v>
      </c>
      <c r="K30" s="9"/>
      <c r="L30" s="191" t="s">
        <v>114</v>
      </c>
      <c r="M30" s="18"/>
      <c r="N30" s="7"/>
      <c r="O30" s="7"/>
      <c r="P30" s="201"/>
    </row>
    <row r="31" spans="1:16" s="12" customFormat="1" x14ac:dyDescent="0.35">
      <c r="A31" s="192"/>
      <c r="B31" s="123" t="s">
        <v>117</v>
      </c>
      <c r="C31" s="43"/>
      <c r="D31" s="43"/>
      <c r="E31" s="106"/>
      <c r="F31" s="104">
        <f t="shared" ref="F31:F38" si="4">H31*12</f>
        <v>0</v>
      </c>
      <c r="G31" s="8"/>
      <c r="H31" s="9">
        <f>IF(Assumptions!D59&gt;0,Assumptions!D59,(Assumptions!B59))/12</f>
        <v>0</v>
      </c>
      <c r="I31" s="8"/>
      <c r="J31" s="24" t="e">
        <f>H31/$H$25</f>
        <v>#DIV/0!</v>
      </c>
      <c r="K31" s="9"/>
      <c r="L31" s="191" t="s">
        <v>114</v>
      </c>
      <c r="M31" s="18"/>
      <c r="N31" s="7"/>
      <c r="O31" s="18"/>
      <c r="P31" s="201"/>
    </row>
    <row r="32" spans="1:16" s="12" customFormat="1" x14ac:dyDescent="0.35">
      <c r="A32" s="192"/>
      <c r="B32" s="123" t="s">
        <v>118</v>
      </c>
      <c r="C32" s="43"/>
      <c r="D32" s="43"/>
      <c r="E32" s="103"/>
      <c r="F32" s="104">
        <f t="shared" si="4"/>
        <v>0</v>
      </c>
      <c r="G32" s="8"/>
      <c r="H32" s="9">
        <f>IF(Assumptions!D41&gt;0,Assumptions!D41,(AVERAGE(Assumptions!B41:C41)))</f>
        <v>0</v>
      </c>
      <c r="I32" s="8"/>
      <c r="J32" s="24" t="e">
        <f t="shared" si="2"/>
        <v>#DIV/0!</v>
      </c>
      <c r="K32" s="9"/>
      <c r="L32" s="191" t="s">
        <v>114</v>
      </c>
      <c r="M32" s="18"/>
      <c r="N32" s="7"/>
      <c r="O32" s="7"/>
      <c r="P32" s="201"/>
    </row>
    <row r="33" spans="1:16" s="12" customFormat="1" x14ac:dyDescent="0.35">
      <c r="A33" s="192"/>
      <c r="B33" s="123" t="s">
        <v>119</v>
      </c>
      <c r="C33" s="44"/>
      <c r="D33" s="44"/>
      <c r="E33" s="103"/>
      <c r="F33" s="104">
        <f t="shared" si="4"/>
        <v>0</v>
      </c>
      <c r="H33" s="9">
        <f>IF(Assumptions!D55&gt;0,Assumptions!D55,(AVERAGE(Assumptions!B55:C55)))</f>
        <v>0</v>
      </c>
      <c r="J33" s="24" t="e">
        <f t="shared" si="2"/>
        <v>#DIV/0!</v>
      </c>
      <c r="K33" s="9"/>
      <c r="L33" s="191" t="s">
        <v>114</v>
      </c>
      <c r="M33" s="18"/>
      <c r="N33" s="7"/>
      <c r="O33" s="7"/>
      <c r="P33" s="201"/>
    </row>
    <row r="34" spans="1:16" s="12" customFormat="1" x14ac:dyDescent="0.35">
      <c r="A34" s="192"/>
      <c r="B34" s="123" t="s">
        <v>120</v>
      </c>
      <c r="C34" s="43"/>
      <c r="D34" s="43"/>
      <c r="E34" s="103"/>
      <c r="F34" s="104">
        <f t="shared" si="4"/>
        <v>0</v>
      </c>
      <c r="G34" s="8"/>
      <c r="H34" s="9">
        <f>IF(Assumptions!D51&gt;0,Assumptions!D51,(AVERAGE(Assumptions!B51:C51)))</f>
        <v>0</v>
      </c>
      <c r="I34" s="8"/>
      <c r="J34" s="24" t="e">
        <f t="shared" si="2"/>
        <v>#DIV/0!</v>
      </c>
      <c r="K34" s="9"/>
      <c r="L34" s="191" t="s">
        <v>114</v>
      </c>
      <c r="M34" s="18"/>
      <c r="N34" s="7"/>
      <c r="O34" s="7"/>
      <c r="P34" s="201"/>
    </row>
    <row r="35" spans="1:16" s="12" customFormat="1" x14ac:dyDescent="0.35">
      <c r="A35" s="192"/>
      <c r="B35" s="123" t="s">
        <v>37</v>
      </c>
      <c r="C35" s="43"/>
      <c r="D35" s="43"/>
      <c r="E35" s="106"/>
      <c r="F35" s="104">
        <f>H35*12</f>
        <v>0</v>
      </c>
      <c r="G35" s="8"/>
      <c r="H35" s="9">
        <f>IF(Assumptions!D47&gt;0,Assumptions!D47,0)</f>
        <v>0</v>
      </c>
      <c r="I35" s="8"/>
      <c r="J35" s="24" t="e">
        <f t="shared" si="2"/>
        <v>#DIV/0!</v>
      </c>
      <c r="K35" s="9"/>
      <c r="L35" s="191" t="s">
        <v>114</v>
      </c>
      <c r="M35" s="7"/>
      <c r="N35" s="111"/>
      <c r="O35" s="7"/>
      <c r="P35" s="201"/>
    </row>
    <row r="36" spans="1:16" s="12" customFormat="1" x14ac:dyDescent="0.35">
      <c r="A36" s="192"/>
      <c r="B36" s="123" t="s">
        <v>121</v>
      </c>
      <c r="C36" s="44"/>
      <c r="D36" s="44"/>
      <c r="E36" s="106"/>
      <c r="F36" s="104">
        <f t="shared" si="4"/>
        <v>0</v>
      </c>
      <c r="G36" s="8"/>
      <c r="H36" s="9">
        <f>Assumptions!D44</f>
        <v>0</v>
      </c>
      <c r="I36" s="8"/>
      <c r="J36" s="24" t="e">
        <f t="shared" si="2"/>
        <v>#DIV/0!</v>
      </c>
      <c r="K36" s="9"/>
      <c r="L36" s="191" t="s">
        <v>114</v>
      </c>
      <c r="M36" s="7"/>
      <c r="N36" s="111"/>
      <c r="O36" s="7"/>
      <c r="P36" s="201"/>
    </row>
    <row r="37" spans="1:16" s="12" customFormat="1" x14ac:dyDescent="0.35">
      <c r="A37" s="190"/>
      <c r="B37" s="123" t="s">
        <v>122</v>
      </c>
      <c r="C37" s="43"/>
      <c r="D37" s="43"/>
      <c r="E37" s="106"/>
      <c r="F37" s="104">
        <f t="shared" si="4"/>
        <v>0</v>
      </c>
      <c r="G37" s="8"/>
      <c r="H37" s="9">
        <f>Assumptions!D76</f>
        <v>0</v>
      </c>
      <c r="I37" s="8"/>
      <c r="J37" s="24" t="e">
        <f t="shared" ref="J37" si="5">H37/$H$25</f>
        <v>#DIV/0!</v>
      </c>
      <c r="K37" s="9"/>
      <c r="L37" s="191" t="s">
        <v>123</v>
      </c>
      <c r="M37" s="18"/>
      <c r="N37" s="7"/>
      <c r="O37" s="7"/>
      <c r="P37" s="201"/>
    </row>
    <row r="38" spans="1:16" s="12" customFormat="1" x14ac:dyDescent="0.35">
      <c r="A38" s="190"/>
      <c r="B38" s="123" t="s">
        <v>124</v>
      </c>
      <c r="C38" s="44"/>
      <c r="D38" s="44"/>
      <c r="E38" s="106"/>
      <c r="F38" s="104">
        <f t="shared" si="4"/>
        <v>0</v>
      </c>
      <c r="G38" s="8"/>
      <c r="H38" s="9">
        <f>Assumptions!D79/12</f>
        <v>0</v>
      </c>
      <c r="I38" s="8"/>
      <c r="J38" s="24" t="e">
        <f>H38/$H$25</f>
        <v>#DIV/0!</v>
      </c>
      <c r="K38" s="9"/>
      <c r="L38" s="191" t="s">
        <v>125</v>
      </c>
      <c r="M38" s="7"/>
      <c r="N38" s="111"/>
      <c r="O38" s="7"/>
      <c r="P38" s="201"/>
    </row>
    <row r="39" spans="1:16" s="12" customFormat="1" x14ac:dyDescent="0.35">
      <c r="A39" s="190"/>
      <c r="B39" s="123" t="s">
        <v>126</v>
      </c>
      <c r="C39" s="43"/>
      <c r="D39" s="43"/>
      <c r="E39" s="106"/>
      <c r="F39" s="104">
        <f>H39*12</f>
        <v>0</v>
      </c>
      <c r="G39" s="8"/>
      <c r="H39" s="9">
        <f>Assumptions!D83/12</f>
        <v>0</v>
      </c>
      <c r="I39" s="8"/>
      <c r="J39" s="24" t="e">
        <f>H39/$H$25</f>
        <v>#DIV/0!</v>
      </c>
      <c r="K39" s="9"/>
      <c r="L39" s="191" t="s">
        <v>127</v>
      </c>
      <c r="M39" s="7"/>
      <c r="N39" s="111"/>
      <c r="O39" s="7"/>
      <c r="P39" s="201"/>
    </row>
    <row r="40" spans="1:16" s="12" customFormat="1" x14ac:dyDescent="0.35">
      <c r="A40" s="190"/>
      <c r="B40" s="123" t="s">
        <v>128</v>
      </c>
      <c r="C40" s="43"/>
      <c r="D40" s="43"/>
      <c r="E40" s="106"/>
      <c r="F40" s="104">
        <v>0</v>
      </c>
      <c r="G40" s="8"/>
      <c r="H40" s="9">
        <f t="shared" ref="H40" si="6">F40/12</f>
        <v>0</v>
      </c>
      <c r="I40" s="8"/>
      <c r="J40" s="24" t="e">
        <f>H40/$H$25</f>
        <v>#DIV/0!</v>
      </c>
      <c r="K40" s="9"/>
      <c r="L40" s="191"/>
      <c r="M40" s="7"/>
      <c r="N40" s="111"/>
      <c r="O40" s="7"/>
      <c r="P40" s="201"/>
    </row>
    <row r="41" spans="1:16" s="12" customFormat="1" x14ac:dyDescent="0.35">
      <c r="A41" s="190"/>
      <c r="B41" s="16"/>
      <c r="C41" s="43"/>
      <c r="D41" s="43"/>
      <c r="E41" s="106"/>
      <c r="F41" s="104"/>
      <c r="G41" s="8"/>
      <c r="H41" s="9"/>
      <c r="I41" s="8"/>
      <c r="J41" s="24"/>
      <c r="K41" s="9"/>
      <c r="L41" s="191"/>
      <c r="M41" s="7"/>
      <c r="N41" s="111"/>
      <c r="O41" s="7"/>
      <c r="P41" s="201"/>
    </row>
    <row r="42" spans="1:16" x14ac:dyDescent="0.35">
      <c r="A42" s="179"/>
      <c r="B42" s="4" t="s">
        <v>234</v>
      </c>
      <c r="C42" s="3"/>
      <c r="D42" s="3"/>
      <c r="E42" s="6"/>
      <c r="F42" s="3"/>
      <c r="G42" s="3"/>
      <c r="H42" s="3"/>
      <c r="I42" s="3"/>
      <c r="J42" s="26"/>
      <c r="K42" s="8"/>
      <c r="L42" s="4"/>
      <c r="M42" s="3"/>
      <c r="N42" s="3"/>
      <c r="O42" s="3"/>
      <c r="P42" s="181"/>
    </row>
    <row r="43" spans="1:16" s="12" customFormat="1" x14ac:dyDescent="0.35">
      <c r="A43" s="190"/>
      <c r="B43" s="123" t="s">
        <v>45</v>
      </c>
      <c r="C43" s="43"/>
      <c r="D43" s="43"/>
      <c r="E43" s="106"/>
      <c r="F43" s="104">
        <f>IF((Assumptions!D21+Assumptions!E21)&gt;=1,Assumptions!B65*12,0)</f>
        <v>0</v>
      </c>
      <c r="G43" s="8"/>
      <c r="H43" s="9">
        <f>F43/12</f>
        <v>0</v>
      </c>
      <c r="I43" s="8"/>
      <c r="J43" s="24" t="e">
        <f>H43/$H$25</f>
        <v>#DIV/0!</v>
      </c>
      <c r="K43" s="9"/>
      <c r="L43" s="191" t="s">
        <v>112</v>
      </c>
      <c r="M43" s="7"/>
      <c r="N43" s="111"/>
      <c r="O43" s="7"/>
      <c r="P43" s="201"/>
    </row>
    <row r="44" spans="1:16" s="12" customFormat="1" ht="16" x14ac:dyDescent="0.5">
      <c r="A44" s="177"/>
      <c r="B44" s="123" t="s">
        <v>257</v>
      </c>
      <c r="C44" s="43"/>
      <c r="D44" s="43"/>
      <c r="E44" s="193"/>
      <c r="F44" s="17">
        <f>IF(Assumptions!D69="Yes",Assumptions!B69*F25,0)</f>
        <v>0</v>
      </c>
      <c r="G44" s="8"/>
      <c r="H44" s="9">
        <f>F44/12</f>
        <v>0</v>
      </c>
      <c r="I44" s="8"/>
      <c r="J44" s="24" t="e">
        <f>H44/$H$25</f>
        <v>#DIV/0!</v>
      </c>
      <c r="K44" s="14"/>
      <c r="L44" s="191" t="s">
        <v>130</v>
      </c>
      <c r="M44" s="7"/>
      <c r="N44" s="7"/>
      <c r="O44" s="18"/>
      <c r="P44" s="201"/>
    </row>
    <row r="45" spans="1:16" s="12" customFormat="1" x14ac:dyDescent="0.35">
      <c r="A45" s="177"/>
      <c r="B45" s="123" t="s">
        <v>258</v>
      </c>
      <c r="C45" s="43"/>
      <c r="D45" s="43"/>
      <c r="E45" s="106"/>
      <c r="F45" s="104">
        <f>IF(Assumptions!D73="Yes",Financials!D7*Assumptions!B73,0)*12</f>
        <v>0</v>
      </c>
      <c r="G45" s="8"/>
      <c r="H45" s="9">
        <f>F45/12</f>
        <v>0</v>
      </c>
      <c r="I45" s="8"/>
      <c r="J45" s="24" t="e">
        <f>H45/$H$25</f>
        <v>#DIV/0!</v>
      </c>
      <c r="K45" s="9"/>
      <c r="L45" s="191" t="s">
        <v>131</v>
      </c>
      <c r="M45" s="18"/>
      <c r="N45" s="7"/>
      <c r="O45" s="18"/>
      <c r="P45" s="201"/>
    </row>
    <row r="46" spans="1:16" s="12" customFormat="1" x14ac:dyDescent="0.35">
      <c r="A46" s="177"/>
      <c r="J46" s="25"/>
      <c r="P46" s="178"/>
    </row>
    <row r="47" spans="1:16" x14ac:dyDescent="0.35">
      <c r="A47" s="179"/>
      <c r="B47" s="4" t="s">
        <v>23</v>
      </c>
      <c r="C47" s="3"/>
      <c r="D47" s="3"/>
      <c r="E47" s="6"/>
      <c r="F47" s="3"/>
      <c r="G47" s="3"/>
      <c r="H47" s="3"/>
      <c r="I47" s="3"/>
      <c r="J47" s="26"/>
      <c r="K47" s="8"/>
      <c r="L47" s="4"/>
      <c r="M47" s="3"/>
      <c r="N47" s="3"/>
      <c r="O47" s="3"/>
      <c r="P47" s="181"/>
    </row>
    <row r="48" spans="1:16" s="12" customFormat="1" x14ac:dyDescent="0.35">
      <c r="A48" s="177"/>
      <c r="B48" s="16" t="s">
        <v>132</v>
      </c>
      <c r="C48" s="43"/>
      <c r="D48" s="43"/>
      <c r="E48" s="103"/>
      <c r="F48" s="104">
        <f>H48*12</f>
        <v>0</v>
      </c>
      <c r="G48" s="9"/>
      <c r="H48" s="9">
        <f>Assumptions!D25</f>
        <v>0</v>
      </c>
      <c r="I48" s="9"/>
      <c r="J48" s="24" t="e">
        <f>H48/$H$25</f>
        <v>#DIV/0!</v>
      </c>
      <c r="K48" s="9"/>
      <c r="L48" s="191" t="s">
        <v>133</v>
      </c>
      <c r="M48" s="18"/>
      <c r="N48" s="7"/>
      <c r="O48" s="18"/>
      <c r="P48" s="201"/>
    </row>
    <row r="49" spans="1:16" s="12" customFormat="1" ht="16" x14ac:dyDescent="0.5">
      <c r="A49" s="177"/>
      <c r="B49" s="10"/>
      <c r="C49" s="43"/>
      <c r="D49" s="43"/>
      <c r="E49" s="103"/>
      <c r="F49" s="115"/>
      <c r="G49" s="9"/>
      <c r="H49" s="51"/>
      <c r="I49" s="9"/>
      <c r="J49" s="24"/>
      <c r="K49" s="9"/>
      <c r="L49" s="194"/>
      <c r="M49" s="18"/>
      <c r="N49" s="7"/>
      <c r="O49" s="18"/>
      <c r="P49" s="201"/>
    </row>
    <row r="50" spans="1:16" ht="16" x14ac:dyDescent="0.5">
      <c r="A50" s="188"/>
      <c r="B50" s="23" t="s">
        <v>134</v>
      </c>
      <c r="C50" s="21"/>
      <c r="D50" s="21"/>
      <c r="E50" s="21"/>
      <c r="F50" s="22">
        <f>SUM(F28:F48)</f>
        <v>0</v>
      </c>
      <c r="G50" s="5"/>
      <c r="H50" s="22">
        <f>F50/12</f>
        <v>0</v>
      </c>
      <c r="I50" s="5"/>
      <c r="J50" s="27" t="e">
        <f>H50/H25</f>
        <v>#DIV/0!</v>
      </c>
      <c r="K50" s="17"/>
      <c r="L50" s="10" t="s">
        <v>135</v>
      </c>
      <c r="M50" s="12"/>
      <c r="N50" s="7"/>
      <c r="O50" s="7"/>
      <c r="P50" s="201"/>
    </row>
    <row r="51" spans="1:16" s="12" customFormat="1" x14ac:dyDescent="0.35">
      <c r="A51" s="177"/>
      <c r="J51" s="25"/>
      <c r="P51" s="178"/>
    </row>
    <row r="52" spans="1:16" ht="16" x14ac:dyDescent="0.5">
      <c r="A52" s="177"/>
      <c r="B52" s="241" t="s">
        <v>136</v>
      </c>
      <c r="C52" s="242"/>
      <c r="D52" s="242"/>
      <c r="E52" s="242"/>
      <c r="F52" s="243">
        <f>F25-F50</f>
        <v>0</v>
      </c>
      <c r="G52" s="244"/>
      <c r="H52" s="243">
        <f>F52/12</f>
        <v>0</v>
      </c>
      <c r="I52" s="244"/>
      <c r="J52" s="245" t="e">
        <f>H52/H25</f>
        <v>#DIV/0!</v>
      </c>
      <c r="K52" s="235"/>
      <c r="L52" s="247" t="s">
        <v>137</v>
      </c>
      <c r="M52" s="239"/>
      <c r="N52" s="246"/>
      <c r="O52" s="246"/>
      <c r="P52" s="201"/>
    </row>
    <row r="53" spans="1:16" s="12" customFormat="1" ht="15" thickBot="1" x14ac:dyDescent="0.4">
      <c r="A53" s="195"/>
      <c r="B53" s="196"/>
      <c r="C53" s="196"/>
      <c r="D53" s="196"/>
      <c r="E53" s="196"/>
      <c r="F53" s="196"/>
      <c r="G53" s="196"/>
      <c r="H53" s="196"/>
      <c r="I53" s="196"/>
      <c r="J53" s="196"/>
      <c r="K53" s="196"/>
      <c r="L53" s="40"/>
      <c r="M53" s="40"/>
      <c r="N53" s="40"/>
      <c r="O53" s="196"/>
      <c r="P53" s="202"/>
    </row>
  </sheetData>
  <mergeCells count="5">
    <mergeCell ref="A1:F2"/>
    <mergeCell ref="B12:O12"/>
    <mergeCell ref="C9:D9"/>
    <mergeCell ref="C10:D10"/>
    <mergeCell ref="J1:P2"/>
  </mergeCells>
  <dataValidations count="1">
    <dataValidation allowBlank="1" showInputMessage="1" showErrorMessage="1" prompt="Total possible rent: bed type x weekly rent rate x 52 weeks per year" sqref="E5:E6 B5:B10" xr:uid="{79477FD7-5B23-499A-A290-14027A4947C3}"/>
  </dataValidations>
  <pageMargins left="0.25" right="0.25" top="0.5" bottom="0.5" header="0" footer="0"/>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28E4-FB66-44F3-8C15-E0ACB23265F7}">
  <dimension ref="A1:AB45"/>
  <sheetViews>
    <sheetView zoomScale="115" zoomScaleNormal="115" workbookViewId="0">
      <selection activeCell="N7" sqref="N7"/>
    </sheetView>
  </sheetViews>
  <sheetFormatPr defaultColWidth="8.7265625" defaultRowHeight="14.5" x14ac:dyDescent="0.35"/>
  <cols>
    <col min="1" max="1" width="1.453125" style="12" customWidth="1"/>
    <col min="2" max="2" width="10.453125" style="1" customWidth="1"/>
    <col min="3" max="3" width="10.26953125" style="1" customWidth="1"/>
    <col min="4" max="4" width="11" style="1" customWidth="1"/>
    <col min="5" max="5" width="14.54296875" style="12" customWidth="1"/>
    <col min="6" max="6" width="12.1796875" style="12" customWidth="1"/>
    <col min="7" max="7" width="8.81640625" style="12" customWidth="1"/>
    <col min="8" max="8" width="2" style="12" customWidth="1"/>
    <col min="9" max="9" width="18.54296875" style="1" customWidth="1"/>
    <col min="10" max="10" width="14.81640625" style="1" customWidth="1"/>
    <col min="11" max="11" width="5.81640625" style="1" customWidth="1"/>
    <col min="12" max="12" width="6.453125" style="1" customWidth="1"/>
    <col min="13" max="13" width="3.81640625" style="1" customWidth="1"/>
    <col min="14" max="28" width="8.7265625" style="12"/>
    <col min="29" max="16384" width="8.7265625" style="1"/>
  </cols>
  <sheetData>
    <row r="1" spans="1:28" s="42" customFormat="1" ht="15" customHeight="1" x14ac:dyDescent="0.35">
      <c r="A1" s="370" t="str">
        <f>Assumptions!A1</f>
        <v>12 Sample Street, Anytown, MA</v>
      </c>
      <c r="B1" s="371"/>
      <c r="C1" s="371"/>
      <c r="D1" s="371"/>
      <c r="E1" s="371"/>
      <c r="F1" s="368" t="s">
        <v>138</v>
      </c>
      <c r="G1" s="368"/>
      <c r="H1" s="368"/>
      <c r="I1" s="368"/>
      <c r="J1" s="219" t="s">
        <v>86</v>
      </c>
      <c r="K1" s="216"/>
      <c r="L1" s="217">
        <f>Assumptions!E21+Assumptions!D21</f>
        <v>0</v>
      </c>
      <c r="M1" s="174"/>
      <c r="N1" s="38"/>
      <c r="O1" s="38"/>
      <c r="P1" s="38"/>
      <c r="Q1" s="38"/>
      <c r="R1" s="38"/>
    </row>
    <row r="2" spans="1:28" s="42" customFormat="1" ht="15" customHeight="1" x14ac:dyDescent="0.35">
      <c r="A2" s="357"/>
      <c r="B2" s="358"/>
      <c r="C2" s="358"/>
      <c r="D2" s="358"/>
      <c r="E2" s="358"/>
      <c r="F2" s="369"/>
      <c r="G2" s="369"/>
      <c r="H2" s="369"/>
      <c r="I2" s="369"/>
      <c r="J2" s="220" t="s">
        <v>87</v>
      </c>
      <c r="K2" s="221"/>
      <c r="L2" s="218">
        <f>L1*(1-Assumptions!D9)</f>
        <v>0</v>
      </c>
      <c r="M2" s="197"/>
    </row>
    <row r="3" spans="1:28" s="38" customFormat="1" ht="7.5" customHeight="1" x14ac:dyDescent="0.35">
      <c r="A3" s="175"/>
      <c r="B3" s="35"/>
      <c r="C3" s="204"/>
      <c r="D3" s="35"/>
      <c r="E3" s="148"/>
      <c r="F3" s="148"/>
      <c r="G3" s="148"/>
      <c r="H3" s="148"/>
      <c r="I3" s="148"/>
      <c r="J3" s="7"/>
      <c r="K3" s="12"/>
      <c r="L3" s="176"/>
      <c r="M3" s="198"/>
    </row>
    <row r="4" spans="1:28" s="38" customFormat="1" ht="34.5" customHeight="1" x14ac:dyDescent="0.35">
      <c r="A4" s="175"/>
      <c r="B4" s="359" t="s">
        <v>88</v>
      </c>
      <c r="C4" s="359"/>
      <c r="D4" s="359"/>
      <c r="E4" s="359"/>
      <c r="F4" s="359"/>
      <c r="G4" s="359"/>
      <c r="H4" s="359"/>
      <c r="I4" s="359"/>
      <c r="J4" s="359"/>
      <c r="K4" s="359"/>
      <c r="L4" s="359"/>
      <c r="M4" s="199"/>
    </row>
    <row r="5" spans="1:28" s="12" customFormat="1" ht="7.5" customHeight="1" x14ac:dyDescent="0.35">
      <c r="A5" s="177"/>
      <c r="L5" s="49"/>
      <c r="M5" s="178"/>
    </row>
    <row r="6" spans="1:28" s="275" customFormat="1" ht="20.5" customHeight="1" x14ac:dyDescent="0.35">
      <c r="A6" s="274"/>
      <c r="B6" s="274" t="s">
        <v>139</v>
      </c>
      <c r="C6" s="274"/>
      <c r="D6" s="274"/>
      <c r="E6" s="274"/>
      <c r="F6" s="274"/>
      <c r="G6" s="274"/>
      <c r="H6" s="274"/>
      <c r="I6" s="274"/>
      <c r="J6" s="274"/>
      <c r="K6" s="274"/>
      <c r="L6" s="274"/>
      <c r="M6" s="278"/>
      <c r="N6" s="228"/>
      <c r="O6" s="228"/>
      <c r="P6" s="228"/>
      <c r="Q6" s="228"/>
      <c r="R6" s="228"/>
      <c r="S6" s="228"/>
      <c r="T6" s="228"/>
      <c r="U6" s="228"/>
      <c r="V6" s="228"/>
      <c r="W6" s="228"/>
      <c r="X6" s="228"/>
      <c r="Y6" s="228"/>
      <c r="Z6" s="228"/>
      <c r="AA6" s="228"/>
      <c r="AB6" s="228"/>
    </row>
    <row r="7" spans="1:28" s="12" customFormat="1" ht="30.65" customHeight="1" x14ac:dyDescent="0.35">
      <c r="A7" s="182"/>
      <c r="B7" s="276" t="s">
        <v>140</v>
      </c>
      <c r="C7" s="30"/>
      <c r="E7" s="29" t="s">
        <v>141</v>
      </c>
      <c r="F7" s="291" t="e">
        <f>(Financials!F25-Financials!F30-Financials!F32-Financials!F34-Financials!F44)/Financials!C10/12</f>
        <v>#DIV/0!</v>
      </c>
      <c r="G7" s="366" t="s">
        <v>142</v>
      </c>
      <c r="H7" s="366"/>
      <c r="I7" s="366"/>
      <c r="J7" s="366"/>
      <c r="K7" s="366"/>
      <c r="L7" s="366"/>
      <c r="M7" s="367"/>
    </row>
    <row r="8" spans="1:28" s="12" customFormat="1" ht="30.65" customHeight="1" x14ac:dyDescent="0.35">
      <c r="A8" s="182"/>
      <c r="B8" s="276" t="s">
        <v>143</v>
      </c>
      <c r="C8" s="30"/>
      <c r="E8" s="29" t="s">
        <v>141</v>
      </c>
      <c r="F8" s="291">
        <f>(Financials!F50-Financials!F30-Financials!F32-Financials!F34-Financials!F44)/12</f>
        <v>0</v>
      </c>
      <c r="G8" s="366" t="s">
        <v>144</v>
      </c>
      <c r="H8" s="366"/>
      <c r="I8" s="366"/>
      <c r="J8" s="366"/>
      <c r="K8" s="366"/>
      <c r="L8" s="366"/>
      <c r="M8" s="367"/>
    </row>
    <row r="9" spans="1:28" s="12" customFormat="1" ht="30.65" customHeight="1" x14ac:dyDescent="0.35">
      <c r="A9" s="182"/>
      <c r="B9" s="276" t="s">
        <v>145</v>
      </c>
      <c r="C9" s="277"/>
      <c r="D9" s="277"/>
      <c r="F9" s="292" t="e">
        <f>F8/F7</f>
        <v>#DIV/0!</v>
      </c>
      <c r="G9" s="366" t="s">
        <v>146</v>
      </c>
      <c r="H9" s="366"/>
      <c r="I9" s="366"/>
      <c r="J9" s="366"/>
      <c r="K9" s="366"/>
      <c r="L9" s="366"/>
      <c r="M9" s="367"/>
    </row>
    <row r="10" spans="1:28" s="12" customFormat="1" ht="10.5" customHeight="1" x14ac:dyDescent="0.35">
      <c r="A10" s="182"/>
      <c r="B10" s="16"/>
      <c r="C10" s="43"/>
      <c r="D10" s="17"/>
      <c r="E10" s="8"/>
      <c r="F10" s="8"/>
      <c r="G10" s="9"/>
      <c r="H10" s="8"/>
      <c r="J10" s="183"/>
      <c r="K10" s="10"/>
      <c r="L10" s="10"/>
      <c r="M10" s="199"/>
    </row>
    <row r="11" spans="1:28" s="275" customFormat="1" ht="20.5" customHeight="1" x14ac:dyDescent="0.35">
      <c r="A11" s="274"/>
      <c r="B11" s="274" t="s">
        <v>147</v>
      </c>
      <c r="C11" s="274"/>
      <c r="D11" s="274"/>
      <c r="E11" s="274"/>
      <c r="F11" s="274"/>
      <c r="G11" s="274"/>
      <c r="H11" s="274"/>
      <c r="I11" s="274"/>
      <c r="J11" s="274"/>
      <c r="K11" s="274"/>
      <c r="L11" s="274"/>
      <c r="M11" s="278"/>
      <c r="N11" s="228"/>
      <c r="O11" s="228"/>
      <c r="P11" s="228"/>
      <c r="Q11" s="228"/>
      <c r="R11" s="228"/>
      <c r="S11" s="228"/>
      <c r="T11" s="228"/>
      <c r="U11" s="228"/>
      <c r="V11" s="228"/>
      <c r="W11" s="228"/>
      <c r="X11" s="228"/>
      <c r="Y11" s="228"/>
      <c r="Z11" s="228"/>
      <c r="AA11" s="228"/>
      <c r="AB11" s="228"/>
    </row>
    <row r="12" spans="1:28" s="12" customFormat="1" ht="36.65" customHeight="1" x14ac:dyDescent="0.35">
      <c r="A12" s="182"/>
      <c r="B12" s="279" t="s">
        <v>148</v>
      </c>
      <c r="C12" s="279" t="s">
        <v>149</v>
      </c>
      <c r="D12" s="280"/>
      <c r="E12" s="280"/>
      <c r="F12" s="280"/>
      <c r="G12" s="280"/>
      <c r="H12" s="280"/>
      <c r="I12" s="280"/>
      <c r="J12" s="280"/>
      <c r="K12" s="280"/>
      <c r="L12" s="280"/>
      <c r="M12" s="281"/>
    </row>
    <row r="13" spans="1:28" s="12" customFormat="1" x14ac:dyDescent="0.35">
      <c r="A13" s="182"/>
      <c r="B13" s="282">
        <v>10</v>
      </c>
      <c r="C13" s="289" t="e">
        <f t="shared" ref="C13:C29" si="0">$F$7*B13-$F$8</f>
        <v>#DIV/0!</v>
      </c>
      <c r="D13" s="283"/>
      <c r="E13" s="283"/>
      <c r="F13" s="283"/>
      <c r="G13" s="283"/>
      <c r="H13" s="283"/>
      <c r="I13" s="283"/>
      <c r="J13" s="283"/>
      <c r="K13" s="283"/>
      <c r="L13" s="283"/>
      <c r="M13" s="284"/>
    </row>
    <row r="14" spans="1:28" s="12" customFormat="1" x14ac:dyDescent="0.35">
      <c r="A14" s="182"/>
      <c r="B14" s="282">
        <v>11</v>
      </c>
      <c r="C14" s="289" t="e">
        <f t="shared" si="0"/>
        <v>#DIV/0!</v>
      </c>
      <c r="D14" s="283"/>
      <c r="E14" s="283"/>
      <c r="F14" s="283"/>
      <c r="G14" s="283"/>
      <c r="H14" s="283"/>
      <c r="I14" s="283"/>
      <c r="J14" s="283"/>
      <c r="K14" s="283"/>
      <c r="L14" s="283"/>
      <c r="M14" s="284"/>
    </row>
    <row r="15" spans="1:28" s="12" customFormat="1" x14ac:dyDescent="0.35">
      <c r="A15" s="182"/>
      <c r="B15" s="282">
        <v>12</v>
      </c>
      <c r="C15" s="289" t="e">
        <f t="shared" si="0"/>
        <v>#DIV/0!</v>
      </c>
      <c r="D15" s="283"/>
      <c r="E15" s="283"/>
      <c r="F15" s="283"/>
      <c r="G15" s="283"/>
      <c r="H15" s="283"/>
      <c r="I15" s="283"/>
      <c r="J15" s="283"/>
      <c r="K15" s="283"/>
      <c r="L15" s="283"/>
      <c r="M15" s="284"/>
    </row>
    <row r="16" spans="1:28" s="12" customFormat="1" x14ac:dyDescent="0.35">
      <c r="A16" s="182"/>
      <c r="B16" s="282">
        <v>13</v>
      </c>
      <c r="C16" s="289" t="e">
        <f t="shared" si="0"/>
        <v>#DIV/0!</v>
      </c>
      <c r="D16" s="283"/>
      <c r="E16" s="283"/>
      <c r="F16" s="283"/>
      <c r="G16" s="283"/>
      <c r="H16" s="283"/>
      <c r="I16" s="283"/>
      <c r="J16" s="283"/>
      <c r="K16" s="283"/>
      <c r="L16" s="283"/>
      <c r="M16" s="284"/>
    </row>
    <row r="17" spans="1:13" x14ac:dyDescent="0.35">
      <c r="A17" s="182"/>
      <c r="B17" s="282">
        <v>14</v>
      </c>
      <c r="C17" s="289" t="e">
        <f t="shared" si="0"/>
        <v>#DIV/0!</v>
      </c>
      <c r="D17" s="283"/>
      <c r="E17" s="283"/>
      <c r="F17" s="283"/>
      <c r="G17" s="283"/>
      <c r="H17" s="283"/>
      <c r="I17" s="283"/>
      <c r="J17" s="283"/>
      <c r="K17" s="283"/>
      <c r="L17" s="283"/>
      <c r="M17" s="284"/>
    </row>
    <row r="18" spans="1:13" s="12" customFormat="1" x14ac:dyDescent="0.35">
      <c r="A18" s="182"/>
      <c r="B18" s="282">
        <v>15</v>
      </c>
      <c r="C18" s="289" t="e">
        <f t="shared" si="0"/>
        <v>#DIV/0!</v>
      </c>
      <c r="D18" s="283"/>
      <c r="E18" s="283"/>
      <c r="F18" s="283"/>
      <c r="G18" s="283"/>
      <c r="H18" s="283"/>
      <c r="I18" s="283"/>
      <c r="J18" s="283"/>
      <c r="K18" s="283"/>
      <c r="L18" s="283"/>
      <c r="M18" s="284"/>
    </row>
    <row r="19" spans="1:13" x14ac:dyDescent="0.35">
      <c r="A19" s="182"/>
      <c r="B19" s="282">
        <v>16</v>
      </c>
      <c r="C19" s="289" t="e">
        <f t="shared" si="0"/>
        <v>#DIV/0!</v>
      </c>
      <c r="D19" s="283"/>
      <c r="E19" s="283"/>
      <c r="F19" s="283"/>
      <c r="G19" s="283"/>
      <c r="H19" s="283"/>
      <c r="I19" s="283"/>
      <c r="J19" s="283"/>
      <c r="K19" s="283"/>
      <c r="L19" s="283"/>
      <c r="M19" s="284"/>
    </row>
    <row r="20" spans="1:13" s="12" customFormat="1" x14ac:dyDescent="0.35">
      <c r="A20" s="182"/>
      <c r="B20" s="282">
        <v>17</v>
      </c>
      <c r="C20" s="289" t="e">
        <f t="shared" si="0"/>
        <v>#DIV/0!</v>
      </c>
      <c r="D20" s="283"/>
      <c r="E20" s="283"/>
      <c r="F20" s="283"/>
      <c r="G20" s="283"/>
      <c r="H20" s="283"/>
      <c r="I20" s="283"/>
      <c r="J20" s="283"/>
      <c r="K20" s="283"/>
      <c r="L20" s="283"/>
      <c r="M20" s="284"/>
    </row>
    <row r="21" spans="1:13" s="12" customFormat="1" ht="14.5" customHeight="1" x14ac:dyDescent="0.35">
      <c r="A21" s="182"/>
      <c r="B21" s="282">
        <v>18</v>
      </c>
      <c r="C21" s="289" t="e">
        <f t="shared" si="0"/>
        <v>#DIV/0!</v>
      </c>
      <c r="D21" s="283"/>
      <c r="E21" s="283"/>
      <c r="F21" s="283"/>
      <c r="G21" s="283"/>
      <c r="H21" s="283"/>
      <c r="I21" s="283"/>
      <c r="J21" s="283"/>
      <c r="K21" s="283"/>
      <c r="L21" s="283"/>
      <c r="M21" s="284"/>
    </row>
    <row r="22" spans="1:13" s="12" customFormat="1" x14ac:dyDescent="0.35">
      <c r="A22" s="182"/>
      <c r="B22" s="282">
        <v>19</v>
      </c>
      <c r="C22" s="289" t="e">
        <f t="shared" si="0"/>
        <v>#DIV/0!</v>
      </c>
      <c r="D22" s="283"/>
      <c r="E22" s="283"/>
      <c r="F22" s="283"/>
      <c r="G22" s="283"/>
      <c r="H22" s="283"/>
      <c r="I22" s="283"/>
      <c r="J22" s="283"/>
      <c r="K22" s="283"/>
      <c r="L22" s="283"/>
      <c r="M22" s="284"/>
    </row>
    <row r="23" spans="1:13" s="12" customFormat="1" x14ac:dyDescent="0.35">
      <c r="A23" s="182"/>
      <c r="B23" s="282">
        <v>20</v>
      </c>
      <c r="C23" s="289" t="e">
        <f t="shared" si="0"/>
        <v>#DIV/0!</v>
      </c>
      <c r="D23" s="283"/>
      <c r="E23" s="283"/>
      <c r="F23" s="283"/>
      <c r="G23" s="283"/>
      <c r="H23" s="283"/>
      <c r="I23" s="283"/>
      <c r="J23" s="283"/>
      <c r="K23" s="283"/>
      <c r="L23" s="283"/>
      <c r="M23" s="284"/>
    </row>
    <row r="24" spans="1:13" s="12" customFormat="1" x14ac:dyDescent="0.35">
      <c r="A24" s="182"/>
      <c r="B24" s="282">
        <v>21</v>
      </c>
      <c r="C24" s="289" t="e">
        <f t="shared" si="0"/>
        <v>#DIV/0!</v>
      </c>
      <c r="D24" s="283"/>
      <c r="E24" s="283"/>
      <c r="F24" s="283"/>
      <c r="G24" s="283"/>
      <c r="H24" s="283"/>
      <c r="I24" s="283"/>
      <c r="J24" s="283"/>
      <c r="K24" s="283"/>
      <c r="L24" s="283"/>
      <c r="M24" s="284"/>
    </row>
    <row r="25" spans="1:13" s="12" customFormat="1" x14ac:dyDescent="0.35">
      <c r="A25" s="182"/>
      <c r="B25" s="282">
        <v>22</v>
      </c>
      <c r="C25" s="289" t="e">
        <f t="shared" si="0"/>
        <v>#DIV/0!</v>
      </c>
      <c r="D25" s="283"/>
      <c r="E25" s="283"/>
      <c r="F25" s="283"/>
      <c r="G25" s="283"/>
      <c r="H25" s="283"/>
      <c r="I25" s="283"/>
      <c r="J25" s="283"/>
      <c r="K25" s="283"/>
      <c r="L25" s="283"/>
      <c r="M25" s="284"/>
    </row>
    <row r="26" spans="1:13" s="12" customFormat="1" x14ac:dyDescent="0.35">
      <c r="A26" s="182"/>
      <c r="B26" s="282">
        <v>23</v>
      </c>
      <c r="C26" s="289" t="e">
        <f t="shared" si="0"/>
        <v>#DIV/0!</v>
      </c>
      <c r="D26" s="283"/>
      <c r="E26" s="283"/>
      <c r="F26" s="283"/>
      <c r="G26" s="283"/>
      <c r="H26" s="283"/>
      <c r="I26" s="283"/>
      <c r="J26" s="283"/>
      <c r="K26" s="283"/>
      <c r="L26" s="283"/>
      <c r="M26" s="284"/>
    </row>
    <row r="27" spans="1:13" s="12" customFormat="1" x14ac:dyDescent="0.35">
      <c r="A27" s="182"/>
      <c r="B27" s="282">
        <v>24</v>
      </c>
      <c r="C27" s="289" t="e">
        <f t="shared" si="0"/>
        <v>#DIV/0!</v>
      </c>
      <c r="D27" s="283"/>
      <c r="E27" s="283"/>
      <c r="F27" s="283"/>
      <c r="G27" s="283"/>
      <c r="H27" s="283"/>
      <c r="I27" s="283"/>
      <c r="J27" s="283"/>
      <c r="K27" s="283"/>
      <c r="L27" s="283"/>
      <c r="M27" s="284"/>
    </row>
    <row r="28" spans="1:13" s="12" customFormat="1" x14ac:dyDescent="0.35">
      <c r="A28" s="192"/>
      <c r="B28" s="282">
        <v>25</v>
      </c>
      <c r="C28" s="289" t="e">
        <f t="shared" si="0"/>
        <v>#DIV/0!</v>
      </c>
      <c r="D28" s="283"/>
      <c r="E28" s="283"/>
      <c r="F28" s="283"/>
      <c r="G28" s="283"/>
      <c r="H28" s="283"/>
      <c r="I28" s="283"/>
      <c r="J28" s="283"/>
      <c r="K28" s="283"/>
      <c r="L28" s="283"/>
      <c r="M28" s="284"/>
    </row>
    <row r="29" spans="1:13" s="12" customFormat="1" ht="15" thickBot="1" x14ac:dyDescent="0.4">
      <c r="A29" s="285"/>
      <c r="B29" s="286">
        <v>26</v>
      </c>
      <c r="C29" s="290" t="e">
        <f t="shared" si="0"/>
        <v>#DIV/0!</v>
      </c>
      <c r="D29" s="287"/>
      <c r="E29" s="287"/>
      <c r="F29" s="287"/>
      <c r="G29" s="287"/>
      <c r="H29" s="287"/>
      <c r="I29" s="287"/>
      <c r="J29" s="287"/>
      <c r="K29" s="287"/>
      <c r="L29" s="287"/>
      <c r="M29" s="288"/>
    </row>
    <row r="30" spans="1:13" s="12" customFormat="1" x14ac:dyDescent="0.35">
      <c r="B30" s="1"/>
      <c r="C30" s="1"/>
      <c r="D30" s="1"/>
      <c r="I30" s="1"/>
      <c r="J30" s="1"/>
      <c r="K30" s="1"/>
      <c r="L30" s="1"/>
      <c r="M30" s="1"/>
    </row>
    <row r="31" spans="1:13" s="12" customFormat="1" x14ac:dyDescent="0.35">
      <c r="B31" s="1"/>
      <c r="C31" s="1"/>
      <c r="D31" s="1"/>
      <c r="I31" s="1"/>
      <c r="J31" s="1"/>
      <c r="K31" s="1"/>
      <c r="L31" s="1"/>
      <c r="M31" s="1"/>
    </row>
    <row r="32" spans="1:13" s="12" customFormat="1" x14ac:dyDescent="0.35">
      <c r="B32" s="1"/>
      <c r="C32" s="1"/>
      <c r="D32" s="1"/>
      <c r="I32" s="1"/>
      <c r="J32" s="1"/>
      <c r="K32" s="1"/>
      <c r="L32" s="1"/>
      <c r="M32" s="1"/>
    </row>
    <row r="33" spans="2:13" s="12" customFormat="1" x14ac:dyDescent="0.35">
      <c r="B33" s="1"/>
      <c r="C33" s="1"/>
      <c r="D33" s="1"/>
      <c r="I33" s="1"/>
      <c r="J33" s="1"/>
      <c r="K33" s="1"/>
      <c r="L33" s="1"/>
      <c r="M33" s="1"/>
    </row>
    <row r="34" spans="2:13" s="12" customFormat="1" x14ac:dyDescent="0.35">
      <c r="B34" s="1"/>
      <c r="C34" s="1"/>
      <c r="D34" s="1"/>
      <c r="I34" s="1"/>
      <c r="J34" s="1"/>
      <c r="K34" s="1"/>
      <c r="L34" s="1"/>
      <c r="M34" s="1"/>
    </row>
    <row r="36" spans="2:13" s="12" customFormat="1" x14ac:dyDescent="0.35">
      <c r="B36" s="1"/>
      <c r="C36" s="1"/>
      <c r="D36" s="1"/>
      <c r="I36" s="1"/>
      <c r="J36" s="1"/>
      <c r="K36" s="1"/>
      <c r="L36" s="1"/>
      <c r="M36" s="1"/>
    </row>
    <row r="37" spans="2:13" s="12" customFormat="1" x14ac:dyDescent="0.35">
      <c r="B37" s="1"/>
      <c r="C37" s="1"/>
      <c r="D37" s="1"/>
      <c r="I37" s="1"/>
      <c r="J37" s="1"/>
      <c r="K37" s="1"/>
      <c r="L37" s="1"/>
      <c r="M37" s="1"/>
    </row>
    <row r="38" spans="2:13" s="12" customFormat="1" x14ac:dyDescent="0.35">
      <c r="B38" s="1"/>
      <c r="C38" s="1"/>
      <c r="D38" s="1"/>
      <c r="I38" s="1"/>
      <c r="J38" s="1"/>
      <c r="K38" s="1"/>
      <c r="L38" s="1"/>
      <c r="M38" s="1"/>
    </row>
    <row r="40" spans="2:13" s="12" customFormat="1" x14ac:dyDescent="0.35">
      <c r="B40" s="1"/>
      <c r="C40" s="1"/>
      <c r="D40" s="1"/>
      <c r="I40" s="1"/>
      <c r="J40" s="1"/>
      <c r="K40" s="1"/>
      <c r="L40" s="1"/>
      <c r="M40" s="1"/>
    </row>
    <row r="41" spans="2:13" s="12" customFormat="1" x14ac:dyDescent="0.35">
      <c r="B41" s="1"/>
      <c r="C41" s="1"/>
      <c r="D41" s="1"/>
      <c r="I41" s="1"/>
      <c r="J41" s="1"/>
      <c r="K41" s="1"/>
      <c r="L41" s="1"/>
      <c r="M41" s="1"/>
    </row>
    <row r="43" spans="2:13" s="12" customFormat="1" x14ac:dyDescent="0.35">
      <c r="B43" s="1"/>
      <c r="C43" s="1"/>
      <c r="D43" s="1"/>
      <c r="I43" s="1"/>
      <c r="J43" s="1"/>
      <c r="K43" s="1"/>
      <c r="L43" s="1"/>
      <c r="M43" s="1"/>
    </row>
    <row r="45" spans="2:13" s="12" customFormat="1" x14ac:dyDescent="0.35">
      <c r="B45" s="1"/>
      <c r="C45" s="1"/>
      <c r="D45" s="1"/>
      <c r="I45" s="1"/>
      <c r="J45" s="1"/>
      <c r="K45" s="1"/>
      <c r="L45" s="1"/>
      <c r="M45" s="1"/>
    </row>
  </sheetData>
  <mergeCells count="6">
    <mergeCell ref="G9:M9"/>
    <mergeCell ref="F1:I2"/>
    <mergeCell ref="A1:E2"/>
    <mergeCell ref="B4:L4"/>
    <mergeCell ref="G7:M7"/>
    <mergeCell ref="G8:M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8A092-888A-47A4-956F-F261A25B26AC}">
  <dimension ref="A1:AE37"/>
  <sheetViews>
    <sheetView zoomScale="115" zoomScaleNormal="115" workbookViewId="0">
      <selection activeCell="L12" sqref="L12"/>
    </sheetView>
  </sheetViews>
  <sheetFormatPr defaultColWidth="8.7265625" defaultRowHeight="14.5" x14ac:dyDescent="0.35"/>
  <cols>
    <col min="1" max="1" width="1.453125" style="12" customWidth="1"/>
    <col min="2" max="2" width="16.453125" style="1" customWidth="1"/>
    <col min="3" max="3" width="5.54296875" style="1" customWidth="1"/>
    <col min="4" max="4" width="3.1796875" style="1" customWidth="1"/>
    <col min="5" max="5" width="10.7265625" style="1" customWidth="1"/>
    <col min="6" max="6" width="2.1796875" style="12" customWidth="1"/>
    <col min="7" max="7" width="8.81640625" style="12" customWidth="1"/>
    <col min="8" max="8" width="2" style="12" customWidth="1"/>
    <col min="9" max="9" width="7.54296875" style="39" customWidth="1"/>
    <col min="10" max="10" width="2.453125" style="12" customWidth="1"/>
    <col min="11" max="11" width="8" style="1" customWidth="1"/>
    <col min="12" max="12" width="14.81640625" style="1" customWidth="1"/>
    <col min="13" max="13" width="5.81640625" style="1" customWidth="1"/>
    <col min="14" max="14" width="6.453125" style="1" customWidth="1"/>
    <col min="15" max="15" width="2.26953125" style="1" customWidth="1"/>
    <col min="16" max="16" width="0.81640625" style="12" customWidth="1"/>
    <col min="17" max="31" width="8.7265625" style="12"/>
    <col min="32" max="16384" width="8.7265625" style="1"/>
  </cols>
  <sheetData>
    <row r="1" spans="1:31" s="42" customFormat="1" ht="15" customHeight="1" x14ac:dyDescent="0.35">
      <c r="A1" s="370" t="str">
        <f>Assumptions!A1</f>
        <v>12 Sample Street, Anytown, MA</v>
      </c>
      <c r="B1" s="371"/>
      <c r="C1" s="371"/>
      <c r="D1" s="371"/>
      <c r="E1" s="371"/>
      <c r="F1" s="371"/>
      <c r="G1" s="371"/>
      <c r="H1" s="368" t="s">
        <v>150</v>
      </c>
      <c r="I1" s="368"/>
      <c r="J1" s="368"/>
      <c r="K1" s="368"/>
      <c r="L1" s="368"/>
      <c r="M1" s="368"/>
      <c r="N1" s="173"/>
      <c r="O1" s="174"/>
      <c r="P1" s="38"/>
      <c r="Q1" s="38"/>
    </row>
    <row r="2" spans="1:31" s="42" customFormat="1" ht="15" customHeight="1" x14ac:dyDescent="0.35">
      <c r="A2" s="357"/>
      <c r="B2" s="358"/>
      <c r="C2" s="358"/>
      <c r="D2" s="358"/>
      <c r="E2" s="358"/>
      <c r="F2" s="358"/>
      <c r="G2" s="358"/>
      <c r="H2" s="369"/>
      <c r="I2" s="369"/>
      <c r="J2" s="369"/>
      <c r="K2" s="369"/>
      <c r="L2" s="369"/>
      <c r="M2" s="369"/>
      <c r="N2" s="50"/>
      <c r="O2" s="197"/>
    </row>
    <row r="3" spans="1:31" s="38" customFormat="1" ht="7.5" customHeight="1" x14ac:dyDescent="0.35">
      <c r="A3" s="175"/>
      <c r="B3" s="35"/>
      <c r="C3" s="35"/>
      <c r="D3" s="204"/>
      <c r="E3" s="35"/>
      <c r="F3" s="148"/>
      <c r="G3" s="148"/>
      <c r="H3" s="148"/>
      <c r="I3" s="148"/>
      <c r="J3" s="148"/>
      <c r="K3" s="148"/>
      <c r="L3" s="7"/>
      <c r="M3" s="12"/>
      <c r="N3" s="176"/>
      <c r="O3" s="198"/>
    </row>
    <row r="4" spans="1:31" s="38" customFormat="1" ht="34.5" customHeight="1" x14ac:dyDescent="0.35">
      <c r="A4" s="175"/>
      <c r="B4" s="359" t="s">
        <v>151</v>
      </c>
      <c r="C4" s="359"/>
      <c r="D4" s="359"/>
      <c r="E4" s="359"/>
      <c r="F4" s="359"/>
      <c r="G4" s="359"/>
      <c r="H4" s="359"/>
      <c r="I4" s="359"/>
      <c r="J4" s="359"/>
      <c r="K4" s="359"/>
      <c r="L4" s="359"/>
      <c r="M4" s="359"/>
      <c r="N4" s="359"/>
      <c r="O4" s="199"/>
    </row>
    <row r="5" spans="1:31" s="12" customFormat="1" ht="7.5" customHeight="1" x14ac:dyDescent="0.35">
      <c r="A5" s="177"/>
      <c r="N5" s="49"/>
      <c r="O5" s="199"/>
    </row>
    <row r="6" spans="1:31" s="208" customFormat="1" ht="20.5" customHeight="1" x14ac:dyDescent="0.35">
      <c r="A6" s="210"/>
      <c r="B6" s="205" t="s">
        <v>152</v>
      </c>
      <c r="C6" s="206"/>
      <c r="D6" s="206"/>
      <c r="E6" s="207"/>
      <c r="F6" s="207"/>
      <c r="G6" s="207"/>
      <c r="H6" s="207"/>
      <c r="I6" s="207"/>
      <c r="J6" s="207"/>
      <c r="K6" s="212" t="s">
        <v>21</v>
      </c>
      <c r="L6" s="212" t="e">
        <f>#REF!+E12+E25</f>
        <v>#REF!</v>
      </c>
      <c r="M6" s="207"/>
      <c r="N6" s="207"/>
      <c r="O6" s="199"/>
      <c r="P6" s="209"/>
      <c r="Q6" s="209"/>
      <c r="R6" s="209"/>
      <c r="S6" s="209"/>
      <c r="T6" s="209"/>
      <c r="U6" s="209"/>
      <c r="V6" s="209"/>
      <c r="W6" s="209"/>
      <c r="X6" s="209"/>
      <c r="Y6" s="209"/>
      <c r="Z6" s="209"/>
      <c r="AA6" s="209"/>
      <c r="AB6" s="209"/>
      <c r="AC6" s="209"/>
      <c r="AD6" s="209"/>
      <c r="AE6" s="209"/>
    </row>
    <row r="7" spans="1:31" s="12" customFormat="1" ht="8.5" customHeight="1" x14ac:dyDescent="0.35">
      <c r="A7" s="182"/>
      <c r="B7" s="15"/>
      <c r="C7" s="43"/>
      <c r="D7" s="43"/>
      <c r="E7" s="17"/>
      <c r="G7" s="9"/>
      <c r="I7" s="10"/>
      <c r="J7" s="9"/>
      <c r="L7" s="183"/>
      <c r="M7" s="183"/>
      <c r="N7" s="183"/>
      <c r="O7" s="200"/>
    </row>
    <row r="8" spans="1:31" ht="20.149999999999999" customHeight="1" x14ac:dyDescent="0.35">
      <c r="A8" s="179"/>
      <c r="B8" s="113" t="s">
        <v>153</v>
      </c>
      <c r="C8" s="2"/>
      <c r="D8" s="3"/>
      <c r="E8" s="33"/>
      <c r="F8" s="33"/>
      <c r="G8" s="33"/>
      <c r="H8" s="33"/>
      <c r="I8" s="33"/>
      <c r="J8" s="33"/>
      <c r="K8" s="33"/>
      <c r="L8" s="33"/>
      <c r="M8" s="33"/>
      <c r="N8" s="33"/>
      <c r="O8" s="199"/>
      <c r="R8" s="1"/>
    </row>
    <row r="9" spans="1:31" s="12" customFormat="1" x14ac:dyDescent="0.35">
      <c r="A9" s="182"/>
      <c r="B9" s="10" t="s">
        <v>154</v>
      </c>
      <c r="C9" s="43"/>
      <c r="D9" s="43"/>
      <c r="E9" s="9">
        <f>IF(Assumptions!D88&gt;=1,Assumptions!D25,0)</f>
        <v>0</v>
      </c>
      <c r="F9" s="8"/>
      <c r="G9" s="211" t="s">
        <v>155</v>
      </c>
      <c r="H9" s="8"/>
      <c r="I9" s="10"/>
      <c r="J9" s="9"/>
      <c r="L9" s="183"/>
      <c r="M9" s="10"/>
      <c r="N9" s="10"/>
      <c r="O9" s="199"/>
    </row>
    <row r="10" spans="1:31" s="12" customFormat="1" x14ac:dyDescent="0.35">
      <c r="A10" s="182"/>
      <c r="B10" s="10" t="s">
        <v>156</v>
      </c>
      <c r="C10" s="8"/>
      <c r="D10" s="20"/>
      <c r="E10" s="9">
        <f>IF(Assumptions!D88&gt;=2,Assumptions!D25,0)</f>
        <v>0</v>
      </c>
      <c r="G10" s="211" t="s">
        <v>155</v>
      </c>
      <c r="I10" s="10"/>
      <c r="J10" s="9"/>
      <c r="L10" s="183"/>
      <c r="M10" s="183"/>
      <c r="N10" s="183"/>
      <c r="O10" s="199"/>
    </row>
    <row r="11" spans="1:31" s="12" customFormat="1" ht="16" x14ac:dyDescent="0.5">
      <c r="A11" s="182"/>
      <c r="B11" s="10" t="s">
        <v>157</v>
      </c>
      <c r="C11" s="8"/>
      <c r="D11" s="8"/>
      <c r="E11" s="14">
        <f>IF(Assumptions!D88&gt;=3,Assumptions!D25,0)</f>
        <v>0</v>
      </c>
      <c r="G11" s="211" t="s">
        <v>155</v>
      </c>
      <c r="I11" s="10"/>
      <c r="J11" s="9"/>
      <c r="L11" s="183"/>
      <c r="M11" s="183"/>
      <c r="N11" s="183"/>
      <c r="O11" s="199"/>
    </row>
    <row r="12" spans="1:31" s="12" customFormat="1" x14ac:dyDescent="0.35">
      <c r="A12" s="182"/>
      <c r="B12" s="203" t="s">
        <v>158</v>
      </c>
      <c r="C12" s="43"/>
      <c r="D12" s="43"/>
      <c r="E12" s="17">
        <f>SUM(E9:E11)</f>
        <v>0</v>
      </c>
      <c r="F12" s="8"/>
      <c r="G12" s="9"/>
      <c r="H12" s="8"/>
      <c r="I12" s="10"/>
      <c r="J12" s="9"/>
      <c r="L12" s="183"/>
      <c r="M12" s="10"/>
      <c r="N12" s="10"/>
      <c r="O12" s="199"/>
    </row>
    <row r="13" spans="1:31" s="12" customFormat="1" ht="8.5" customHeight="1" x14ac:dyDescent="0.35">
      <c r="A13" s="182"/>
      <c r="B13" s="16"/>
      <c r="C13" s="43"/>
      <c r="D13" s="43"/>
      <c r="E13" s="17"/>
      <c r="G13" s="9"/>
      <c r="I13" s="10"/>
      <c r="J13" s="9"/>
      <c r="L13" s="183"/>
      <c r="M13" s="183"/>
      <c r="N13" s="183"/>
      <c r="O13" s="200"/>
    </row>
    <row r="14" spans="1:31" ht="20.149999999999999" customHeight="1" x14ac:dyDescent="0.35">
      <c r="A14" s="179"/>
      <c r="B14" s="113" t="s">
        <v>159</v>
      </c>
      <c r="C14" s="2"/>
      <c r="D14" s="3"/>
      <c r="E14" s="33"/>
      <c r="F14" s="33"/>
      <c r="G14" s="33"/>
      <c r="H14" s="33"/>
      <c r="I14" s="33"/>
      <c r="J14" s="33"/>
      <c r="K14" s="33"/>
      <c r="L14" s="33"/>
      <c r="M14" s="33"/>
      <c r="N14" s="33"/>
      <c r="O14" s="199"/>
    </row>
    <row r="15" spans="1:31" s="12" customFormat="1" x14ac:dyDescent="0.35">
      <c r="A15" s="182"/>
      <c r="B15" s="10" t="s">
        <v>268</v>
      </c>
      <c r="C15" s="43"/>
      <c r="D15" s="43"/>
      <c r="E15" s="9">
        <f>IF(Assumptions!D87="Yes",6000,0)</f>
        <v>0</v>
      </c>
      <c r="F15" s="8"/>
      <c r="G15" s="213" t="s">
        <v>160</v>
      </c>
      <c r="H15" s="8"/>
      <c r="I15" s="10"/>
      <c r="J15" s="9"/>
      <c r="L15" s="183"/>
      <c r="M15" s="10"/>
      <c r="N15" s="10"/>
      <c r="O15" s="199"/>
    </row>
    <row r="16" spans="1:31" s="12" customFormat="1" x14ac:dyDescent="0.35">
      <c r="A16" s="182"/>
      <c r="B16" s="10" t="s">
        <v>60</v>
      </c>
      <c r="C16" s="43"/>
      <c r="D16" s="43"/>
      <c r="E16" s="9">
        <f>Assumptions!D89</f>
        <v>500</v>
      </c>
      <c r="F16" s="8"/>
      <c r="G16" s="213" t="s">
        <v>160</v>
      </c>
      <c r="H16" s="8"/>
      <c r="I16" s="10"/>
      <c r="J16" s="9"/>
      <c r="L16" s="183"/>
      <c r="M16" s="10"/>
      <c r="N16" s="10"/>
      <c r="O16" s="199"/>
    </row>
    <row r="17" spans="1:31" s="12" customFormat="1" x14ac:dyDescent="0.35">
      <c r="A17" s="182"/>
      <c r="B17" s="10" t="s">
        <v>62</v>
      </c>
      <c r="C17" s="43"/>
      <c r="D17" s="43"/>
      <c r="E17" s="9">
        <f>Assumptions!D90</f>
        <v>300</v>
      </c>
      <c r="F17" s="8"/>
      <c r="G17" s="214" t="s">
        <v>161</v>
      </c>
      <c r="H17" s="8"/>
      <c r="I17" s="10"/>
      <c r="J17" s="9"/>
      <c r="L17" s="183"/>
      <c r="M17" s="10"/>
      <c r="N17" s="10"/>
      <c r="O17" s="199"/>
    </row>
    <row r="18" spans="1:31" s="12" customFormat="1" x14ac:dyDescent="0.35">
      <c r="A18" s="182"/>
      <c r="B18" s="10" t="s">
        <v>64</v>
      </c>
      <c r="C18" s="43"/>
      <c r="D18" s="43"/>
      <c r="E18" s="9">
        <f>Assumptions!D91</f>
        <v>2400</v>
      </c>
      <c r="F18" s="8"/>
      <c r="G18" s="214" t="s">
        <v>162</v>
      </c>
      <c r="H18" s="8"/>
      <c r="I18" s="10"/>
      <c r="J18" s="9"/>
      <c r="L18" s="183"/>
      <c r="M18" s="10"/>
      <c r="N18" s="10"/>
      <c r="O18" s="199"/>
    </row>
    <row r="19" spans="1:31" s="12" customFormat="1" x14ac:dyDescent="0.35">
      <c r="A19" s="182"/>
      <c r="B19" s="10" t="s">
        <v>65</v>
      </c>
      <c r="C19" s="43"/>
      <c r="D19" s="43"/>
      <c r="E19" s="9">
        <f>Assumptions!D92</f>
        <v>0</v>
      </c>
      <c r="F19" s="8"/>
      <c r="G19" s="215" t="s">
        <v>269</v>
      </c>
      <c r="H19" s="8"/>
      <c r="I19" s="10"/>
      <c r="J19" s="9"/>
      <c r="L19" s="183"/>
      <c r="M19" s="10"/>
      <c r="N19" s="10"/>
      <c r="O19" s="199"/>
    </row>
    <row r="20" spans="1:31" s="12" customFormat="1" x14ac:dyDescent="0.35">
      <c r="A20" s="182"/>
      <c r="B20" s="10" t="s">
        <v>66</v>
      </c>
      <c r="C20" s="43"/>
      <c r="D20" s="43"/>
      <c r="E20" s="9">
        <f>Assumptions!D93</f>
        <v>0</v>
      </c>
      <c r="F20" s="8"/>
      <c r="G20" s="213" t="s">
        <v>163</v>
      </c>
      <c r="H20" s="8"/>
      <c r="I20" s="10"/>
      <c r="J20" s="9"/>
      <c r="L20" s="183"/>
      <c r="M20" s="10"/>
      <c r="N20" s="10"/>
      <c r="O20" s="199"/>
    </row>
    <row r="21" spans="1:31" s="12" customFormat="1" x14ac:dyDescent="0.35">
      <c r="A21" s="182"/>
      <c r="B21" s="10" t="s">
        <v>68</v>
      </c>
      <c r="C21" s="43"/>
      <c r="D21" s="43"/>
      <c r="E21" s="9">
        <f>Assumptions!D94</f>
        <v>0</v>
      </c>
      <c r="F21" s="8"/>
      <c r="G21" s="213" t="s">
        <v>164</v>
      </c>
      <c r="H21" s="8"/>
      <c r="I21" s="10"/>
      <c r="J21" s="9"/>
      <c r="L21" s="183"/>
      <c r="M21" s="10"/>
      <c r="N21" s="10"/>
      <c r="O21" s="199"/>
    </row>
    <row r="22" spans="1:31" s="12" customFormat="1" x14ac:dyDescent="0.35">
      <c r="A22" s="182"/>
      <c r="B22" s="10" t="s">
        <v>70</v>
      </c>
      <c r="C22" s="43"/>
      <c r="D22" s="43"/>
      <c r="E22" s="9">
        <f>Assumptions!D95</f>
        <v>520</v>
      </c>
      <c r="F22" s="8"/>
      <c r="G22" s="214" t="s">
        <v>165</v>
      </c>
      <c r="L22" s="183"/>
      <c r="M22" s="10"/>
      <c r="N22" s="10"/>
      <c r="O22" s="199"/>
    </row>
    <row r="23" spans="1:31" s="12" customFormat="1" x14ac:dyDescent="0.35">
      <c r="A23" s="182"/>
      <c r="B23" s="10" t="s">
        <v>166</v>
      </c>
      <c r="C23" s="43"/>
      <c r="D23" s="43"/>
      <c r="E23" s="9">
        <f>Financials!H31</f>
        <v>0</v>
      </c>
      <c r="F23" s="8"/>
      <c r="G23" s="213" t="s">
        <v>167</v>
      </c>
      <c r="H23" s="8"/>
      <c r="I23" s="10"/>
      <c r="J23" s="9"/>
      <c r="L23" s="183"/>
      <c r="M23" s="10"/>
      <c r="N23" s="10"/>
      <c r="O23" s="199"/>
    </row>
    <row r="24" spans="1:31" s="12" customFormat="1" ht="16" x14ac:dyDescent="0.5">
      <c r="A24" s="182"/>
      <c r="B24" s="10" t="s">
        <v>168</v>
      </c>
      <c r="C24" s="8"/>
      <c r="D24" s="20"/>
      <c r="E24" s="14" t="e">
        <f>MAX(0,(-MIN('12-Month Estimates'!D31:O31)))</f>
        <v>#DIV/0!</v>
      </c>
      <c r="G24" s="214" t="s">
        <v>169</v>
      </c>
      <c r="I24" s="10"/>
      <c r="J24" s="9"/>
      <c r="L24" s="183"/>
      <c r="M24" s="183"/>
      <c r="N24" s="183"/>
      <c r="O24" s="199"/>
    </row>
    <row r="25" spans="1:31" s="12" customFormat="1" x14ac:dyDescent="0.35">
      <c r="A25" s="182"/>
      <c r="B25" s="203" t="s">
        <v>170</v>
      </c>
      <c r="C25" s="8"/>
      <c r="D25" s="8"/>
      <c r="E25" s="17" t="e">
        <f>SUM(E16:E24)</f>
        <v>#DIV/0!</v>
      </c>
      <c r="I25" s="10"/>
      <c r="J25" s="9"/>
      <c r="L25" s="183"/>
      <c r="M25" s="183"/>
      <c r="N25" s="183"/>
      <c r="O25" s="199"/>
    </row>
    <row r="26" spans="1:31" s="12" customFormat="1" ht="8.5" customHeight="1" x14ac:dyDescent="0.35">
      <c r="A26" s="182"/>
      <c r="C26" s="43"/>
      <c r="D26" s="43"/>
      <c r="F26" s="8"/>
      <c r="G26" s="9"/>
      <c r="H26" s="8"/>
      <c r="I26" s="10"/>
      <c r="J26" s="9"/>
      <c r="L26" s="183"/>
      <c r="M26" s="10"/>
      <c r="N26" s="10"/>
      <c r="O26" s="199"/>
    </row>
    <row r="27" spans="1:31" s="208" customFormat="1" ht="20.5" customHeight="1" x14ac:dyDescent="0.35">
      <c r="A27" s="210"/>
      <c r="B27" s="205" t="s">
        <v>171</v>
      </c>
      <c r="C27" s="206"/>
      <c r="D27" s="206"/>
      <c r="E27" s="207"/>
      <c r="F27" s="207"/>
      <c r="G27" s="207"/>
      <c r="H27" s="207"/>
      <c r="I27" s="207"/>
      <c r="J27" s="207"/>
      <c r="K27" s="212" t="s">
        <v>21</v>
      </c>
      <c r="L27" s="212" t="e">
        <f>E32+E36+E54</f>
        <v>#REF!</v>
      </c>
      <c r="M27" s="207"/>
      <c r="N27" s="207"/>
      <c r="O27" s="199"/>
      <c r="P27" s="209"/>
      <c r="Q27" s="209"/>
      <c r="R27" s="12"/>
      <c r="S27" s="12"/>
      <c r="T27" s="12"/>
      <c r="U27" s="12"/>
      <c r="V27" s="209"/>
      <c r="W27" s="209"/>
      <c r="X27" s="209"/>
      <c r="Y27" s="209"/>
      <c r="Z27" s="209"/>
      <c r="AA27" s="209"/>
      <c r="AB27" s="209"/>
      <c r="AC27" s="209"/>
      <c r="AD27" s="209"/>
      <c r="AE27" s="209"/>
    </row>
    <row r="28" spans="1:31" s="12" customFormat="1" x14ac:dyDescent="0.35">
      <c r="A28" s="182"/>
      <c r="B28" s="15"/>
      <c r="C28" s="43"/>
      <c r="D28" s="43"/>
      <c r="E28" s="17"/>
      <c r="G28" s="9"/>
      <c r="I28" s="10"/>
      <c r="J28" s="9"/>
      <c r="L28" s="183"/>
      <c r="M28" s="183"/>
      <c r="N28" s="183"/>
      <c r="O28" s="200"/>
    </row>
    <row r="29" spans="1:31" ht="20.149999999999999" customHeight="1" x14ac:dyDescent="0.35">
      <c r="A29" s="179"/>
      <c r="B29" s="113" t="s">
        <v>72</v>
      </c>
      <c r="C29" s="2"/>
      <c r="D29" s="3"/>
      <c r="E29" s="113"/>
      <c r="F29" s="33"/>
      <c r="G29" s="113"/>
      <c r="H29" s="33"/>
      <c r="I29" s="33"/>
      <c r="J29" s="33"/>
      <c r="K29" s="33"/>
      <c r="L29" s="33"/>
      <c r="M29" s="33"/>
      <c r="N29" s="33"/>
      <c r="O29" s="199"/>
    </row>
    <row r="30" spans="1:31" s="12" customFormat="1" x14ac:dyDescent="0.35">
      <c r="A30" s="182"/>
      <c r="B30" s="10" t="s">
        <v>172</v>
      </c>
      <c r="C30" s="43"/>
      <c r="D30" s="43"/>
      <c r="E30" s="9">
        <f>Assumptions!D97</f>
        <v>0</v>
      </c>
      <c r="F30" s="8"/>
      <c r="G30" s="211"/>
      <c r="H30" s="10"/>
      <c r="L30" s="9"/>
      <c r="M30" s="10"/>
      <c r="N30" s="10"/>
      <c r="O30" s="199"/>
    </row>
    <row r="31" spans="1:31" s="12" customFormat="1" ht="16" x14ac:dyDescent="0.5">
      <c r="A31" s="182"/>
      <c r="B31" s="10" t="s">
        <v>173</v>
      </c>
      <c r="C31" s="8"/>
      <c r="D31" s="20"/>
      <c r="E31" s="14">
        <f>Assumptions!D98</f>
        <v>0</v>
      </c>
      <c r="G31" s="211"/>
      <c r="L31" s="9"/>
      <c r="M31" s="183"/>
      <c r="N31" s="183"/>
      <c r="O31" s="199"/>
    </row>
    <row r="32" spans="1:31" s="12" customFormat="1" x14ac:dyDescent="0.35">
      <c r="A32" s="182"/>
      <c r="B32" s="203" t="s">
        <v>21</v>
      </c>
      <c r="C32" s="43"/>
      <c r="D32" s="43"/>
      <c r="E32" s="17">
        <f>SUM(E30:E31)</f>
        <v>0</v>
      </c>
      <c r="F32" s="8"/>
      <c r="H32" s="8"/>
      <c r="I32" s="10"/>
      <c r="J32" s="10"/>
      <c r="K32" s="10"/>
      <c r="L32" s="183"/>
      <c r="M32" s="10"/>
      <c r="N32" s="10"/>
      <c r="O32" s="199"/>
    </row>
    <row r="33" spans="1:15" s="12" customFormat="1" x14ac:dyDescent="0.35">
      <c r="A33" s="182"/>
      <c r="C33" s="43"/>
      <c r="D33" s="43"/>
      <c r="F33" s="8"/>
      <c r="H33" s="8"/>
      <c r="I33" s="10"/>
      <c r="J33" s="10"/>
      <c r="K33" s="10"/>
      <c r="L33" s="183"/>
      <c r="M33" s="10"/>
      <c r="N33" s="10"/>
      <c r="O33" s="199"/>
    </row>
    <row r="34" spans="1:15" ht="20.149999999999999" customHeight="1" x14ac:dyDescent="0.35">
      <c r="A34" s="179"/>
      <c r="B34" s="113" t="s">
        <v>174</v>
      </c>
      <c r="C34" s="2"/>
      <c r="D34" s="3"/>
      <c r="E34" s="113"/>
      <c r="F34" s="33"/>
      <c r="G34" s="113"/>
      <c r="H34" s="33"/>
      <c r="I34" s="33"/>
      <c r="J34" s="33"/>
      <c r="K34" s="33"/>
      <c r="L34" s="33"/>
      <c r="M34" s="33"/>
      <c r="N34" s="33"/>
      <c r="O34" s="199"/>
    </row>
    <row r="35" spans="1:15" s="12" customFormat="1" ht="16" x14ac:dyDescent="0.5">
      <c r="A35" s="182"/>
      <c r="B35" s="10" t="s">
        <v>175</v>
      </c>
      <c r="C35" s="8"/>
      <c r="D35" s="20"/>
      <c r="E35" s="14" t="e">
        <f>L6-E32</f>
        <v>#REF!</v>
      </c>
      <c r="G35" s="211"/>
      <c r="L35" s="9"/>
      <c r="M35" s="183"/>
      <c r="N35" s="183"/>
      <c r="O35" s="199"/>
    </row>
    <row r="36" spans="1:15" s="12" customFormat="1" x14ac:dyDescent="0.35">
      <c r="A36" s="182"/>
      <c r="B36" s="233" t="s">
        <v>21</v>
      </c>
      <c r="C36" s="234"/>
      <c r="D36" s="234"/>
      <c r="E36" s="235" t="e">
        <f>SUM(E35:E35)</f>
        <v>#REF!</v>
      </c>
      <c r="F36" s="236"/>
      <c r="G36" s="235" t="s">
        <v>176</v>
      </c>
      <c r="H36" s="236"/>
      <c r="I36" s="237"/>
      <c r="J36" s="238"/>
      <c r="K36" s="239"/>
      <c r="L36" s="240"/>
      <c r="M36" s="237"/>
      <c r="N36" s="237"/>
      <c r="O36" s="199"/>
    </row>
    <row r="37" spans="1:15" s="12" customFormat="1" ht="15" thickBot="1" x14ac:dyDescent="0.4">
      <c r="A37" s="195"/>
      <c r="B37" s="196"/>
      <c r="C37" s="196"/>
      <c r="D37" s="196"/>
      <c r="E37" s="196"/>
      <c r="F37" s="196"/>
      <c r="G37" s="196"/>
      <c r="H37" s="196"/>
      <c r="I37" s="196"/>
      <c r="J37" s="196"/>
      <c r="K37" s="40"/>
      <c r="L37" s="40"/>
      <c r="M37" s="40"/>
      <c r="N37" s="196"/>
      <c r="O37" s="202"/>
    </row>
  </sheetData>
  <mergeCells count="3">
    <mergeCell ref="H1:M2"/>
    <mergeCell ref="B4:N4"/>
    <mergeCell ref="A1: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FE67A-7BC5-41CE-9DE5-A20F0788EE47}">
  <sheetPr>
    <pageSetUpPr fitToPage="1"/>
  </sheetPr>
  <dimension ref="A1:T36"/>
  <sheetViews>
    <sheetView zoomScale="130" zoomScaleNormal="130" workbookViewId="0">
      <selection activeCell="I37" sqref="I37"/>
    </sheetView>
  </sheetViews>
  <sheetFormatPr defaultColWidth="8.7265625" defaultRowHeight="14.5" x14ac:dyDescent="0.35"/>
  <cols>
    <col min="1" max="1" width="4.453125" style="32" customWidth="1"/>
    <col min="2" max="2" width="23.7265625" style="32" customWidth="1"/>
    <col min="3" max="3" width="11.453125" style="32" customWidth="1"/>
    <col min="4" max="4" width="9" style="95" customWidth="1"/>
    <col min="5" max="15" width="9" style="32" customWidth="1"/>
    <col min="16" max="16" width="10.26953125" style="32" customWidth="1"/>
    <col min="17" max="20" width="8.7265625" style="8"/>
    <col min="21" max="16384" width="8.7265625" style="32"/>
  </cols>
  <sheetData>
    <row r="1" spans="1:20" s="55" customFormat="1" ht="30" customHeight="1" x14ac:dyDescent="0.35">
      <c r="A1" s="35" t="str">
        <f>Financials!A1</f>
        <v>12 Sample Street, Anytown, MA</v>
      </c>
      <c r="C1" s="35"/>
      <c r="D1" s="35"/>
      <c r="E1" s="35"/>
      <c r="F1" s="35" t="s">
        <v>177</v>
      </c>
      <c r="I1" s="34"/>
      <c r="K1" s="34"/>
      <c r="L1" s="34"/>
      <c r="M1" s="34"/>
      <c r="N1" s="34"/>
      <c r="O1" s="34"/>
      <c r="P1" s="34"/>
      <c r="Q1" s="29"/>
      <c r="R1" s="29"/>
      <c r="S1" s="29"/>
      <c r="T1" s="29"/>
    </row>
    <row r="2" spans="1:20" s="56" customFormat="1" ht="15.5" x14ac:dyDescent="0.35">
      <c r="B2" s="57" t="s">
        <v>0</v>
      </c>
      <c r="C2" s="58" t="s">
        <v>178</v>
      </c>
      <c r="D2" s="59" t="s">
        <v>179</v>
      </c>
      <c r="E2" s="60" t="s">
        <v>180</v>
      </c>
      <c r="F2" s="60" t="s">
        <v>181</v>
      </c>
      <c r="G2" s="60" t="s">
        <v>182</v>
      </c>
      <c r="H2" s="60" t="s">
        <v>183</v>
      </c>
      <c r="I2" s="60" t="s">
        <v>184</v>
      </c>
      <c r="J2" s="60" t="s">
        <v>185</v>
      </c>
      <c r="K2" s="60" t="s">
        <v>186</v>
      </c>
      <c r="L2" s="60" t="s">
        <v>187</v>
      </c>
      <c r="M2" s="60" t="s">
        <v>188</v>
      </c>
      <c r="N2" s="60" t="s">
        <v>189</v>
      </c>
      <c r="O2" s="60" t="s">
        <v>190</v>
      </c>
      <c r="P2" s="61" t="s">
        <v>191</v>
      </c>
      <c r="Q2" s="62"/>
      <c r="R2" s="30"/>
      <c r="S2" s="30"/>
      <c r="T2" s="30"/>
    </row>
    <row r="3" spans="1:20" x14ac:dyDescent="0.35">
      <c r="A3" s="8"/>
      <c r="B3" s="10" t="s">
        <v>192</v>
      </c>
      <c r="C3" s="63">
        <f>Financials!C10</f>
        <v>0</v>
      </c>
      <c r="D3" s="64">
        <f>C3*0.2</f>
        <v>0</v>
      </c>
      <c r="E3" s="64">
        <f>C3*0.4</f>
        <v>0</v>
      </c>
      <c r="F3" s="64">
        <f>C3*0.6</f>
        <v>0</v>
      </c>
      <c r="G3" s="64">
        <f>C3*0.8</f>
        <v>0</v>
      </c>
      <c r="H3" s="64">
        <f>C3</f>
        <v>0</v>
      </c>
      <c r="I3" s="64">
        <f>C3</f>
        <v>0</v>
      </c>
      <c r="J3" s="64">
        <f>C3</f>
        <v>0</v>
      </c>
      <c r="K3" s="64">
        <f t="shared" ref="K3:O4" si="0">J3</f>
        <v>0</v>
      </c>
      <c r="L3" s="64">
        <f t="shared" si="0"/>
        <v>0</v>
      </c>
      <c r="M3" s="64">
        <f t="shared" si="0"/>
        <v>0</v>
      </c>
      <c r="N3" s="64">
        <f t="shared" si="0"/>
        <v>0</v>
      </c>
      <c r="O3" s="64">
        <f t="shared" si="0"/>
        <v>0</v>
      </c>
      <c r="P3" s="65"/>
      <c r="Q3" s="66"/>
    </row>
    <row r="4" spans="1:20" x14ac:dyDescent="0.35">
      <c r="A4" s="8"/>
      <c r="B4" s="10" t="s">
        <v>193</v>
      </c>
      <c r="C4" s="63">
        <f>C3*Assumptions!D102/12</f>
        <v>0</v>
      </c>
      <c r="D4" s="64">
        <f>C4</f>
        <v>0</v>
      </c>
      <c r="E4" s="64">
        <f>C4</f>
        <v>0</v>
      </c>
      <c r="F4" s="64">
        <f>C4</f>
        <v>0</v>
      </c>
      <c r="G4" s="64">
        <f>C4</f>
        <v>0</v>
      </c>
      <c r="H4" s="64">
        <f>C4</f>
        <v>0</v>
      </c>
      <c r="I4" s="64">
        <f>C4</f>
        <v>0</v>
      </c>
      <c r="J4" s="64">
        <f>I4</f>
        <v>0</v>
      </c>
      <c r="K4" s="64">
        <f t="shared" si="0"/>
        <v>0</v>
      </c>
      <c r="L4" s="64">
        <f t="shared" si="0"/>
        <v>0</v>
      </c>
      <c r="M4" s="64">
        <f t="shared" si="0"/>
        <v>0</v>
      </c>
      <c r="N4" s="64">
        <f t="shared" si="0"/>
        <v>0</v>
      </c>
      <c r="O4" s="64">
        <f t="shared" si="0"/>
        <v>0</v>
      </c>
      <c r="P4" s="65"/>
      <c r="Q4" s="66"/>
    </row>
    <row r="5" spans="1:20" x14ac:dyDescent="0.35">
      <c r="A5" s="8"/>
      <c r="B5" s="10" t="s">
        <v>194</v>
      </c>
      <c r="C5" s="67"/>
      <c r="D5" s="68">
        <f>D4</f>
        <v>0</v>
      </c>
      <c r="E5" s="69">
        <f>E3-D3</f>
        <v>0</v>
      </c>
      <c r="F5" s="69">
        <f t="shared" ref="F5:H5" si="1">F3-E3</f>
        <v>0</v>
      </c>
      <c r="G5" s="69">
        <f t="shared" si="1"/>
        <v>0</v>
      </c>
      <c r="H5" s="69">
        <f t="shared" si="1"/>
        <v>0</v>
      </c>
      <c r="I5" s="69">
        <f>I3-H3</f>
        <v>0</v>
      </c>
      <c r="J5" s="69">
        <f t="shared" ref="J5:O5" si="2">J3-I3</f>
        <v>0</v>
      </c>
      <c r="K5" s="69">
        <f t="shared" si="2"/>
        <v>0</v>
      </c>
      <c r="L5" s="69">
        <f t="shared" si="2"/>
        <v>0</v>
      </c>
      <c r="M5" s="69">
        <f t="shared" si="2"/>
        <v>0</v>
      </c>
      <c r="N5" s="69">
        <f t="shared" si="2"/>
        <v>0</v>
      </c>
      <c r="O5" s="69">
        <f t="shared" si="2"/>
        <v>0</v>
      </c>
      <c r="P5" s="65"/>
      <c r="Q5" s="66"/>
    </row>
    <row r="6" spans="1:20" s="36" customFormat="1" ht="15" thickBot="1" x14ac:dyDescent="0.4">
      <c r="A6" s="54"/>
      <c r="B6" s="53" t="s">
        <v>195</v>
      </c>
      <c r="C6" s="70"/>
      <c r="D6" s="71" t="e">
        <f>D3/Financials!D7</f>
        <v>#DIV/0!</v>
      </c>
      <c r="E6" s="72" t="e">
        <f>E3/Financials!$D$7</f>
        <v>#DIV/0!</v>
      </c>
      <c r="F6" s="72" t="e">
        <f>F3/Financials!$D$7</f>
        <v>#DIV/0!</v>
      </c>
      <c r="G6" s="72" t="e">
        <f>G3/Financials!$D$7</f>
        <v>#DIV/0!</v>
      </c>
      <c r="H6" s="72" t="e">
        <f>H3/Financials!$D$7</f>
        <v>#DIV/0!</v>
      </c>
      <c r="I6" s="72" t="e">
        <f>I3/Financials!$D$7</f>
        <v>#DIV/0!</v>
      </c>
      <c r="J6" s="72" t="e">
        <f>J3/Financials!$D$7</f>
        <v>#DIV/0!</v>
      </c>
      <c r="K6" s="72" t="e">
        <f>K3/Financials!$D$7</f>
        <v>#DIV/0!</v>
      </c>
      <c r="L6" s="72" t="e">
        <f>L3/Financials!$D$7</f>
        <v>#DIV/0!</v>
      </c>
      <c r="M6" s="72" t="e">
        <f>M3/Financials!$D$7</f>
        <v>#DIV/0!</v>
      </c>
      <c r="N6" s="72" t="e">
        <f>N3/Financials!$D$7</f>
        <v>#DIV/0!</v>
      </c>
      <c r="O6" s="72" t="e">
        <f>O3/Financials!$D$7</f>
        <v>#DIV/0!</v>
      </c>
      <c r="P6" s="73"/>
      <c r="Q6" s="74"/>
      <c r="R6" s="54"/>
      <c r="S6" s="54"/>
      <c r="T6" s="54"/>
    </row>
    <row r="7" spans="1:20" s="37" customFormat="1" ht="15.5" x14ac:dyDescent="0.35">
      <c r="B7" s="75" t="s">
        <v>196</v>
      </c>
      <c r="C7" s="75"/>
      <c r="D7" s="76"/>
      <c r="E7" s="77"/>
      <c r="F7" s="77"/>
      <c r="G7" s="77"/>
      <c r="H7" s="77"/>
      <c r="I7" s="77"/>
      <c r="J7" s="77"/>
      <c r="K7" s="77"/>
      <c r="L7" s="77"/>
      <c r="M7" s="77"/>
      <c r="N7" s="77"/>
      <c r="O7" s="77"/>
      <c r="P7" s="61" t="s">
        <v>191</v>
      </c>
      <c r="Q7" s="66"/>
      <c r="R7" s="8"/>
      <c r="S7" s="8"/>
      <c r="T7" s="8"/>
    </row>
    <row r="8" spans="1:20" x14ac:dyDescent="0.35">
      <c r="A8" s="8"/>
      <c r="B8" s="10" t="s">
        <v>197</v>
      </c>
      <c r="C8" s="78"/>
      <c r="D8" s="79" t="e">
        <f>$D$6*Financials!F15/12</f>
        <v>#DIV/0!</v>
      </c>
      <c r="E8" s="80" t="e">
        <f>E6*Financials!$F$15/12</f>
        <v>#DIV/0!</v>
      </c>
      <c r="F8" s="80" t="e">
        <f>F6*Financials!$F$15/12</f>
        <v>#DIV/0!</v>
      </c>
      <c r="G8" s="80" t="e">
        <f>G6*Financials!$F$15/12</f>
        <v>#DIV/0!</v>
      </c>
      <c r="H8" s="80" t="e">
        <f>H6*Financials!$F$15/12</f>
        <v>#DIV/0!</v>
      </c>
      <c r="I8" s="80" t="e">
        <f>I6*Financials!$F$15/12</f>
        <v>#DIV/0!</v>
      </c>
      <c r="J8" s="80" t="e">
        <f>J6*Financials!$F$15/12</f>
        <v>#DIV/0!</v>
      </c>
      <c r="K8" s="80" t="e">
        <f>K6*Financials!$F$15/12</f>
        <v>#DIV/0!</v>
      </c>
      <c r="L8" s="80" t="e">
        <f>L6*Financials!$F$15/12</f>
        <v>#DIV/0!</v>
      </c>
      <c r="M8" s="80" t="e">
        <f>M6*Financials!$F$15/12</f>
        <v>#DIV/0!</v>
      </c>
      <c r="N8" s="80" t="e">
        <f>N6*Financials!$F$15/12</f>
        <v>#DIV/0!</v>
      </c>
      <c r="O8" s="80" t="e">
        <f>O6*Financials!$F$15/12</f>
        <v>#DIV/0!</v>
      </c>
      <c r="P8" s="65" t="e">
        <f>SUM(D8:O8)</f>
        <v>#DIV/0!</v>
      </c>
      <c r="Q8" s="66"/>
    </row>
    <row r="9" spans="1:20" x14ac:dyDescent="0.35">
      <c r="A9" s="8"/>
      <c r="B9" s="10" t="s">
        <v>198</v>
      </c>
      <c r="C9" s="67"/>
      <c r="D9" s="79">
        <f>D4*Assumptions!D10</f>
        <v>0</v>
      </c>
      <c r="E9" s="80">
        <f>E4*Assumptions!$D$10</f>
        <v>0</v>
      </c>
      <c r="F9" s="80">
        <f>F4*Assumptions!$D$10</f>
        <v>0</v>
      </c>
      <c r="G9" s="80">
        <f>G4*Assumptions!$D$10</f>
        <v>0</v>
      </c>
      <c r="H9" s="80">
        <f>H4*Assumptions!$D$10</f>
        <v>0</v>
      </c>
      <c r="I9" s="80">
        <f>I4*Assumptions!$D$10</f>
        <v>0</v>
      </c>
      <c r="J9" s="80">
        <f>J4*Assumptions!$D$10</f>
        <v>0</v>
      </c>
      <c r="K9" s="80">
        <f>K4*Assumptions!$D$10</f>
        <v>0</v>
      </c>
      <c r="L9" s="80">
        <f>L4*Assumptions!$D$10</f>
        <v>0</v>
      </c>
      <c r="M9" s="80">
        <f>M4*Assumptions!$D$10</f>
        <v>0</v>
      </c>
      <c r="N9" s="80">
        <f>N4*Assumptions!$D$10</f>
        <v>0</v>
      </c>
      <c r="O9" s="80">
        <f>O4*Assumptions!$D$10</f>
        <v>0</v>
      </c>
      <c r="P9" s="65">
        <f t="shared" ref="P9:P13" si="3">SUM(D9:O9)</f>
        <v>0</v>
      </c>
      <c r="Q9" s="66"/>
    </row>
    <row r="10" spans="1:20" x14ac:dyDescent="0.35">
      <c r="A10" s="8"/>
      <c r="B10" s="10" t="s">
        <v>199</v>
      </c>
      <c r="C10" s="67"/>
      <c r="D10" s="79" t="e">
        <f>('12-Month Estimates'!D6/(1-(Financials!$E$17)))*Financials!$H$22</f>
        <v>#DIV/0!</v>
      </c>
      <c r="E10" s="80" t="e">
        <f>('12-Month Estimates'!E6/(1-(Financials!$E$17)))*Financials!$H$22</f>
        <v>#DIV/0!</v>
      </c>
      <c r="F10" s="80" t="e">
        <f>('12-Month Estimates'!F6/(1-(Financials!$E$17)))*Financials!$H$22</f>
        <v>#DIV/0!</v>
      </c>
      <c r="G10" s="80" t="e">
        <f>('12-Month Estimates'!G6/(1-(Financials!$E$17)))*Financials!$H$22</f>
        <v>#DIV/0!</v>
      </c>
      <c r="H10" s="80" t="e">
        <f>('12-Month Estimates'!H6/(1-(Financials!$E$17)))*Financials!$H$22</f>
        <v>#DIV/0!</v>
      </c>
      <c r="I10" s="80" t="e">
        <f>('12-Month Estimates'!I6/(1-(Financials!$E$17)))*Financials!$H$22</f>
        <v>#DIV/0!</v>
      </c>
      <c r="J10" s="80" t="e">
        <f>('12-Month Estimates'!J6/(1-(Financials!$E$17)))*Financials!$H$22</f>
        <v>#DIV/0!</v>
      </c>
      <c r="K10" s="80" t="e">
        <f>('12-Month Estimates'!K6/(1-(Financials!$E$17)))*Financials!$H$22</f>
        <v>#DIV/0!</v>
      </c>
      <c r="L10" s="80" t="e">
        <f>('12-Month Estimates'!L6/(1-(Financials!$E$17)))*Financials!$H$22</f>
        <v>#DIV/0!</v>
      </c>
      <c r="M10" s="80" t="e">
        <f>('12-Month Estimates'!M6/(1-(Financials!$E$17)))*Financials!$H$22</f>
        <v>#DIV/0!</v>
      </c>
      <c r="N10" s="80" t="e">
        <f>('12-Month Estimates'!N6/(1-(Financials!$E$17)))*Financials!$H$22</f>
        <v>#DIV/0!</v>
      </c>
      <c r="O10" s="80" t="e">
        <f>('12-Month Estimates'!O6/(1-(Financials!$E$17)))*Financials!$H$22</f>
        <v>#DIV/0!</v>
      </c>
      <c r="P10" s="65" t="e">
        <f t="shared" si="3"/>
        <v>#DIV/0!</v>
      </c>
      <c r="Q10" s="66"/>
    </row>
    <row r="11" spans="1:20" x14ac:dyDescent="0.35">
      <c r="A11" s="8"/>
      <c r="B11" s="10" t="s">
        <v>200</v>
      </c>
      <c r="C11" s="67"/>
      <c r="D11" s="79">
        <f>D3*Assumptions!D105*Assumptions!D104/3</f>
        <v>0</v>
      </c>
      <c r="E11" s="80">
        <f>E3*Assumptions!$D$105*Assumptions!$D$104/3</f>
        <v>0</v>
      </c>
      <c r="F11" s="80">
        <f>F3*Assumptions!$D$105*Assumptions!$D$104/3</f>
        <v>0</v>
      </c>
      <c r="G11" s="80">
        <f>G3*Assumptions!$D$105*Assumptions!$D$104/3</f>
        <v>0</v>
      </c>
      <c r="H11" s="80">
        <f>H3*Assumptions!$D$105*Assumptions!$D$104/3</f>
        <v>0</v>
      </c>
      <c r="I11" s="80">
        <f>I3*Assumptions!$D$105*Assumptions!$D$104/3</f>
        <v>0</v>
      </c>
      <c r="J11" s="80">
        <f>J3*Assumptions!$D$105*Assumptions!$D$104/3</f>
        <v>0</v>
      </c>
      <c r="K11" s="80">
        <f>K3*Assumptions!$D$105*Assumptions!$D$104/3</f>
        <v>0</v>
      </c>
      <c r="L11" s="80">
        <f>L3*Assumptions!$D$105*Assumptions!$D$104/3</f>
        <v>0</v>
      </c>
      <c r="M11" s="80">
        <f>M3*Assumptions!$D$105*Assumptions!$D$104/3</f>
        <v>0</v>
      </c>
      <c r="N11" s="80">
        <f>N3*Assumptions!$D$105*Assumptions!$D$104/3</f>
        <v>0</v>
      </c>
      <c r="O11" s="80">
        <f>O3*Assumptions!$D$105*Assumptions!$D$104/3</f>
        <v>0</v>
      </c>
      <c r="P11" s="65">
        <f t="shared" si="3"/>
        <v>0</v>
      </c>
      <c r="Q11" s="66"/>
    </row>
    <row r="12" spans="1:20" ht="16" x14ac:dyDescent="0.35">
      <c r="A12" s="8"/>
      <c r="B12" s="10" t="s">
        <v>201</v>
      </c>
      <c r="C12" s="67"/>
      <c r="D12" s="81" t="e">
        <f>('12-Month Estimates'!D6/(1-(Financials!$E$17)))*Financials!$H$24</f>
        <v>#DIV/0!</v>
      </c>
      <c r="E12" s="82" t="e">
        <f>('12-Month Estimates'!E6/(1-(Financials!$E$17)))*Financials!$H$24</f>
        <v>#DIV/0!</v>
      </c>
      <c r="F12" s="82" t="e">
        <f>('12-Month Estimates'!F6/(1-(Financials!$E$17)))*Financials!$H$24</f>
        <v>#DIV/0!</v>
      </c>
      <c r="G12" s="82" t="e">
        <f>('12-Month Estimates'!G6/(1-(Financials!$E$17)))*Financials!$H$24</f>
        <v>#DIV/0!</v>
      </c>
      <c r="H12" s="82" t="e">
        <f>('12-Month Estimates'!H6/(1-(Financials!$E$17)))*Financials!$H$24</f>
        <v>#DIV/0!</v>
      </c>
      <c r="I12" s="82" t="e">
        <f>('12-Month Estimates'!I6/(1-(Financials!$E$17)))*Financials!$H$24</f>
        <v>#DIV/0!</v>
      </c>
      <c r="J12" s="82" t="e">
        <f>('12-Month Estimates'!J6/(1-(Financials!$E$17)))*Financials!$H$24</f>
        <v>#DIV/0!</v>
      </c>
      <c r="K12" s="82" t="e">
        <f>('12-Month Estimates'!K6/(1-(Financials!$E$17)))*Financials!$H$24</f>
        <v>#DIV/0!</v>
      </c>
      <c r="L12" s="82" t="e">
        <f>('12-Month Estimates'!L6/(1-(Financials!$E$17)))*Financials!$H$24</f>
        <v>#DIV/0!</v>
      </c>
      <c r="M12" s="82" t="e">
        <f>('12-Month Estimates'!M6/(1-(Financials!$E$17)))*Financials!$H$24</f>
        <v>#DIV/0!</v>
      </c>
      <c r="N12" s="82" t="e">
        <f>('12-Month Estimates'!N6/(1-(Financials!$E$17)))*Financials!$H$24</f>
        <v>#DIV/0!</v>
      </c>
      <c r="O12" s="82" t="e">
        <f>('12-Month Estimates'!O6/(1-(Financials!$E$17)))*Financials!$H$24</f>
        <v>#DIV/0!</v>
      </c>
      <c r="P12" s="83" t="e">
        <f t="shared" si="3"/>
        <v>#DIV/0!</v>
      </c>
      <c r="Q12" s="66"/>
    </row>
    <row r="13" spans="1:20" s="36" customFormat="1" ht="15" thickBot="1" x14ac:dyDescent="0.4">
      <c r="A13" s="54"/>
      <c r="B13" s="108" t="s">
        <v>202</v>
      </c>
      <c r="C13" s="84"/>
      <c r="D13" s="85" t="e">
        <f>SUM(D8:D12)</f>
        <v>#DIV/0!</v>
      </c>
      <c r="E13" s="86" t="e">
        <f t="shared" ref="E13:O13" si="4">SUM(E8:E12)</f>
        <v>#DIV/0!</v>
      </c>
      <c r="F13" s="86" t="e">
        <f t="shared" si="4"/>
        <v>#DIV/0!</v>
      </c>
      <c r="G13" s="86" t="e">
        <f t="shared" si="4"/>
        <v>#DIV/0!</v>
      </c>
      <c r="H13" s="86" t="e">
        <f t="shared" si="4"/>
        <v>#DIV/0!</v>
      </c>
      <c r="I13" s="86" t="e">
        <f t="shared" si="4"/>
        <v>#DIV/0!</v>
      </c>
      <c r="J13" s="86" t="e">
        <f t="shared" si="4"/>
        <v>#DIV/0!</v>
      </c>
      <c r="K13" s="86" t="e">
        <f t="shared" si="4"/>
        <v>#DIV/0!</v>
      </c>
      <c r="L13" s="86" t="e">
        <f t="shared" si="4"/>
        <v>#DIV/0!</v>
      </c>
      <c r="M13" s="86" t="e">
        <f t="shared" si="4"/>
        <v>#DIV/0!</v>
      </c>
      <c r="N13" s="86" t="e">
        <f t="shared" si="4"/>
        <v>#DIV/0!</v>
      </c>
      <c r="O13" s="86" t="e">
        <f t="shared" si="4"/>
        <v>#DIV/0!</v>
      </c>
      <c r="P13" s="73" t="e">
        <f t="shared" si="3"/>
        <v>#DIV/0!</v>
      </c>
      <c r="Q13" s="74"/>
      <c r="R13" s="54"/>
      <c r="S13" s="54"/>
      <c r="T13" s="54"/>
    </row>
    <row r="14" spans="1:20" s="37" customFormat="1" ht="15.5" x14ac:dyDescent="0.35">
      <c r="B14" s="75" t="s">
        <v>203</v>
      </c>
      <c r="C14" s="75"/>
      <c r="D14" s="96"/>
      <c r="E14" s="97"/>
      <c r="F14" s="97"/>
      <c r="G14" s="97"/>
      <c r="H14" s="97"/>
      <c r="I14" s="97"/>
      <c r="J14" s="97"/>
      <c r="K14" s="97"/>
      <c r="L14" s="97"/>
      <c r="M14" s="97"/>
      <c r="N14" s="97"/>
      <c r="O14" s="97"/>
      <c r="P14" s="98"/>
      <c r="Q14" s="66"/>
      <c r="R14" s="8"/>
      <c r="S14" s="8"/>
      <c r="T14" s="8"/>
    </row>
    <row r="15" spans="1:20" x14ac:dyDescent="0.35">
      <c r="A15" s="372"/>
      <c r="B15" s="10" t="s">
        <v>204</v>
      </c>
      <c r="C15" s="78"/>
      <c r="D15" s="79">
        <f>MAX(0,Startup!E9-Financials!H48)</f>
        <v>0</v>
      </c>
      <c r="E15" s="80">
        <f>MAX(0,Financials!H48-Startup!E10)</f>
        <v>0</v>
      </c>
      <c r="F15" s="80">
        <f>IF((Startup!E12&gt;=Financials!H48*3),0,Financials!H48)</f>
        <v>0</v>
      </c>
      <c r="G15" s="80">
        <f>IF((Startup!E12&gt;=Financials!H48*4),0,Financials!H48)</f>
        <v>0</v>
      </c>
      <c r="H15" s="80">
        <f>IF((Startup!E12&gt;=Financials!H48*5),0,Financials!H48)</f>
        <v>0</v>
      </c>
      <c r="I15" s="80">
        <f>Financials!H48</f>
        <v>0</v>
      </c>
      <c r="J15" s="80">
        <f>I15</f>
        <v>0</v>
      </c>
      <c r="K15" s="80">
        <f t="shared" ref="K15:O15" si="5">J15</f>
        <v>0</v>
      </c>
      <c r="L15" s="80">
        <f t="shared" si="5"/>
        <v>0</v>
      </c>
      <c r="M15" s="80">
        <f t="shared" si="5"/>
        <v>0</v>
      </c>
      <c r="N15" s="80">
        <f t="shared" si="5"/>
        <v>0</v>
      </c>
      <c r="O15" s="80">
        <f t="shared" si="5"/>
        <v>0</v>
      </c>
      <c r="P15" s="65">
        <f>SUM(D15:O15)</f>
        <v>0</v>
      </c>
      <c r="Q15" s="66"/>
    </row>
    <row r="16" spans="1:20" ht="14.5" customHeight="1" x14ac:dyDescent="0.35">
      <c r="A16" s="372"/>
      <c r="B16" s="10" t="s">
        <v>205</v>
      </c>
      <c r="C16" s="8"/>
      <c r="D16" s="87">
        <v>0</v>
      </c>
      <c r="E16" s="80">
        <f>Financials!H28</f>
        <v>0</v>
      </c>
      <c r="F16" s="80">
        <f t="shared" ref="F16:O21" si="6">E16</f>
        <v>0</v>
      </c>
      <c r="G16" s="80">
        <f t="shared" si="6"/>
        <v>0</v>
      </c>
      <c r="H16" s="80">
        <f t="shared" si="6"/>
        <v>0</v>
      </c>
      <c r="I16" s="80">
        <f t="shared" si="6"/>
        <v>0</v>
      </c>
      <c r="J16" s="80">
        <f t="shared" si="6"/>
        <v>0</v>
      </c>
      <c r="K16" s="80">
        <f t="shared" si="6"/>
        <v>0</v>
      </c>
      <c r="L16" s="80">
        <f t="shared" si="6"/>
        <v>0</v>
      </c>
      <c r="M16" s="80">
        <f t="shared" si="6"/>
        <v>0</v>
      </c>
      <c r="N16" s="80">
        <f t="shared" si="6"/>
        <v>0</v>
      </c>
      <c r="O16" s="80">
        <f t="shared" si="6"/>
        <v>0</v>
      </c>
      <c r="P16" s="65">
        <f>SUM(D16:O16)</f>
        <v>0</v>
      </c>
      <c r="Q16" s="66"/>
      <c r="S16" s="10"/>
    </row>
    <row r="17" spans="1:20" x14ac:dyDescent="0.35">
      <c r="A17" s="372"/>
      <c r="B17" s="10" t="s">
        <v>206</v>
      </c>
      <c r="C17" s="8"/>
      <c r="D17" s="87">
        <v>0</v>
      </c>
      <c r="E17" s="80">
        <f>Financials!H29</f>
        <v>0</v>
      </c>
      <c r="F17" s="80">
        <f t="shared" si="6"/>
        <v>0</v>
      </c>
      <c r="G17" s="80">
        <f t="shared" si="6"/>
        <v>0</v>
      </c>
      <c r="H17" s="80">
        <f t="shared" si="6"/>
        <v>0</v>
      </c>
      <c r="I17" s="80">
        <f t="shared" si="6"/>
        <v>0</v>
      </c>
      <c r="J17" s="80">
        <f t="shared" si="6"/>
        <v>0</v>
      </c>
      <c r="K17" s="80">
        <f t="shared" si="6"/>
        <v>0</v>
      </c>
      <c r="L17" s="80">
        <f t="shared" si="6"/>
        <v>0</v>
      </c>
      <c r="M17" s="80">
        <f t="shared" si="6"/>
        <v>0</v>
      </c>
      <c r="N17" s="80">
        <f t="shared" si="6"/>
        <v>0</v>
      </c>
      <c r="O17" s="80">
        <f t="shared" si="6"/>
        <v>0</v>
      </c>
      <c r="P17" s="65">
        <f t="shared" ref="P17:P29" si="7">SUM(D17:O17)</f>
        <v>0</v>
      </c>
      <c r="Q17" s="66"/>
      <c r="S17" s="10"/>
    </row>
    <row r="18" spans="1:20" x14ac:dyDescent="0.35">
      <c r="A18" s="372"/>
      <c r="B18" s="10" t="s">
        <v>207</v>
      </c>
      <c r="C18" s="8"/>
      <c r="D18" s="87">
        <v>0</v>
      </c>
      <c r="E18" s="80">
        <v>0</v>
      </c>
      <c r="F18" s="80">
        <v>0</v>
      </c>
      <c r="G18" s="80">
        <f>Financials!H30*3</f>
        <v>0</v>
      </c>
      <c r="H18" s="80">
        <v>0</v>
      </c>
      <c r="I18" s="80">
        <v>0</v>
      </c>
      <c r="J18" s="80">
        <f>G18</f>
        <v>0</v>
      </c>
      <c r="K18" s="80">
        <v>0</v>
      </c>
      <c r="L18" s="80">
        <v>0</v>
      </c>
      <c r="M18" s="80">
        <f>J18</f>
        <v>0</v>
      </c>
      <c r="N18" s="80">
        <v>0</v>
      </c>
      <c r="O18" s="80">
        <v>0</v>
      </c>
      <c r="P18" s="65">
        <f t="shared" si="7"/>
        <v>0</v>
      </c>
      <c r="Q18" s="66"/>
      <c r="S18" s="10"/>
    </row>
    <row r="19" spans="1:20" x14ac:dyDescent="0.35">
      <c r="A19" s="372"/>
      <c r="B19" s="10" t="s">
        <v>118</v>
      </c>
      <c r="C19" s="8"/>
      <c r="D19" s="87">
        <v>0</v>
      </c>
      <c r="E19" s="19">
        <v>0</v>
      </c>
      <c r="F19" s="19">
        <v>0</v>
      </c>
      <c r="G19" s="19">
        <f t="shared" ref="G19:O19" si="8">2.5*2*G3*4.33333</f>
        <v>0</v>
      </c>
      <c r="H19" s="19">
        <f t="shared" si="8"/>
        <v>0</v>
      </c>
      <c r="I19" s="19">
        <f t="shared" si="8"/>
        <v>0</v>
      </c>
      <c r="J19" s="19">
        <f t="shared" si="8"/>
        <v>0</v>
      </c>
      <c r="K19" s="19">
        <f t="shared" si="8"/>
        <v>0</v>
      </c>
      <c r="L19" s="19">
        <f t="shared" si="8"/>
        <v>0</v>
      </c>
      <c r="M19" s="19">
        <f t="shared" si="8"/>
        <v>0</v>
      </c>
      <c r="N19" s="19">
        <f t="shared" si="8"/>
        <v>0</v>
      </c>
      <c r="O19" s="19">
        <f t="shared" si="8"/>
        <v>0</v>
      </c>
      <c r="P19" s="65">
        <f t="shared" si="7"/>
        <v>0</v>
      </c>
      <c r="Q19" s="66"/>
      <c r="S19" s="10"/>
    </row>
    <row r="20" spans="1:20" x14ac:dyDescent="0.35">
      <c r="A20" s="372"/>
      <c r="B20" s="10" t="s">
        <v>119</v>
      </c>
      <c r="C20" s="8"/>
      <c r="D20" s="87">
        <v>0</v>
      </c>
      <c r="E20" s="80">
        <v>0</v>
      </c>
      <c r="F20" s="80">
        <v>0</v>
      </c>
      <c r="G20" s="80">
        <v>0</v>
      </c>
      <c r="H20" s="80">
        <v>0</v>
      </c>
      <c r="I20" s="80">
        <v>0</v>
      </c>
      <c r="J20" s="80">
        <f>Financials!H33</f>
        <v>0</v>
      </c>
      <c r="K20" s="80">
        <f t="shared" si="6"/>
        <v>0</v>
      </c>
      <c r="L20" s="80">
        <f t="shared" si="6"/>
        <v>0</v>
      </c>
      <c r="M20" s="80">
        <f t="shared" si="6"/>
        <v>0</v>
      </c>
      <c r="N20" s="80">
        <f t="shared" si="6"/>
        <v>0</v>
      </c>
      <c r="O20" s="80">
        <f t="shared" si="6"/>
        <v>0</v>
      </c>
      <c r="P20" s="65">
        <f t="shared" si="7"/>
        <v>0</v>
      </c>
      <c r="Q20" s="66"/>
      <c r="S20" s="10"/>
    </row>
    <row r="21" spans="1:20" x14ac:dyDescent="0.35">
      <c r="A21" s="372"/>
      <c r="B21" s="10" t="s">
        <v>120</v>
      </c>
      <c r="C21" s="8"/>
      <c r="D21" s="87">
        <v>0</v>
      </c>
      <c r="E21" s="80">
        <f>Financials!H34</f>
        <v>0</v>
      </c>
      <c r="F21" s="80">
        <f>E21</f>
        <v>0</v>
      </c>
      <c r="G21" s="80">
        <f t="shared" si="6"/>
        <v>0</v>
      </c>
      <c r="H21" s="80">
        <f>G21</f>
        <v>0</v>
      </c>
      <c r="I21" s="80">
        <f t="shared" si="6"/>
        <v>0</v>
      </c>
      <c r="J21" s="80">
        <f t="shared" si="6"/>
        <v>0</v>
      </c>
      <c r="K21" s="80">
        <f t="shared" si="6"/>
        <v>0</v>
      </c>
      <c r="L21" s="80">
        <f t="shared" si="6"/>
        <v>0</v>
      </c>
      <c r="M21" s="80">
        <f t="shared" si="6"/>
        <v>0</v>
      </c>
      <c r="N21" s="80">
        <f t="shared" si="6"/>
        <v>0</v>
      </c>
      <c r="O21" s="80">
        <f t="shared" si="6"/>
        <v>0</v>
      </c>
      <c r="P21" s="65">
        <f>SUM(D21:O21)</f>
        <v>0</v>
      </c>
      <c r="Q21" s="66"/>
      <c r="S21" s="10"/>
    </row>
    <row r="22" spans="1:20" x14ac:dyDescent="0.35">
      <c r="A22" s="372"/>
      <c r="B22" s="10" t="s">
        <v>208</v>
      </c>
      <c r="C22" s="8"/>
      <c r="D22" s="87">
        <v>0</v>
      </c>
      <c r="E22" s="80">
        <f>Financials!$H$35</f>
        <v>0</v>
      </c>
      <c r="F22" s="80">
        <f>Financials!$H$35</f>
        <v>0</v>
      </c>
      <c r="G22" s="80">
        <f>Financials!$H$35</f>
        <v>0</v>
      </c>
      <c r="H22" s="80">
        <f>Financials!$H$35</f>
        <v>0</v>
      </c>
      <c r="I22" s="80">
        <f>Financials!$H$35</f>
        <v>0</v>
      </c>
      <c r="J22" s="80">
        <f>Financials!$H$35</f>
        <v>0</v>
      </c>
      <c r="K22" s="80">
        <f>Financials!$H$35</f>
        <v>0</v>
      </c>
      <c r="L22" s="80">
        <f>Financials!$H$35</f>
        <v>0</v>
      </c>
      <c r="M22" s="80">
        <f>Financials!$H$35</f>
        <v>0</v>
      </c>
      <c r="N22" s="80">
        <f>Financials!$H$35</f>
        <v>0</v>
      </c>
      <c r="O22" s="80">
        <f>Financials!$H$35</f>
        <v>0</v>
      </c>
      <c r="P22" s="65">
        <f t="shared" si="7"/>
        <v>0</v>
      </c>
      <c r="Q22" s="66"/>
      <c r="S22" s="10"/>
    </row>
    <row r="23" spans="1:20" x14ac:dyDescent="0.35">
      <c r="A23" s="372"/>
      <c r="B23" s="10" t="s">
        <v>121</v>
      </c>
      <c r="C23" s="8"/>
      <c r="D23" s="87">
        <f>Financials!H36</f>
        <v>0</v>
      </c>
      <c r="E23" s="80">
        <f>D23</f>
        <v>0</v>
      </c>
      <c r="F23" s="80">
        <f t="shared" ref="F23:O23" si="9">E23</f>
        <v>0</v>
      </c>
      <c r="G23" s="80">
        <f t="shared" si="9"/>
        <v>0</v>
      </c>
      <c r="H23" s="80">
        <f t="shared" si="9"/>
        <v>0</v>
      </c>
      <c r="I23" s="80">
        <f t="shared" si="9"/>
        <v>0</v>
      </c>
      <c r="J23" s="80">
        <f t="shared" si="9"/>
        <v>0</v>
      </c>
      <c r="K23" s="80">
        <f t="shared" si="9"/>
        <v>0</v>
      </c>
      <c r="L23" s="80">
        <f t="shared" si="9"/>
        <v>0</v>
      </c>
      <c r="M23" s="80">
        <f t="shared" si="9"/>
        <v>0</v>
      </c>
      <c r="N23" s="80">
        <f t="shared" si="9"/>
        <v>0</v>
      </c>
      <c r="O23" s="80">
        <f t="shared" si="9"/>
        <v>0</v>
      </c>
      <c r="P23" s="65">
        <f t="shared" si="7"/>
        <v>0</v>
      </c>
      <c r="Q23" s="66"/>
      <c r="S23" s="10"/>
    </row>
    <row r="24" spans="1:20" x14ac:dyDescent="0.35">
      <c r="A24" s="372"/>
      <c r="B24" s="10" t="s">
        <v>271</v>
      </c>
      <c r="C24" s="8"/>
      <c r="D24" s="79">
        <v>0</v>
      </c>
      <c r="E24" s="80" t="e">
        <f>Financials!$H$43+Financials!$H$45+(Financials!$H$44*(E3/$C$3))</f>
        <v>#DIV/0!</v>
      </c>
      <c r="F24" s="80" t="e">
        <f>Financials!$H$43+Financials!$H$45+(Financials!$H$44*(F3/$C$3))</f>
        <v>#DIV/0!</v>
      </c>
      <c r="G24" s="80" t="e">
        <f>Financials!$H$43+Financials!$H$45+(Financials!$H$44*(G3/$C$3))</f>
        <v>#DIV/0!</v>
      </c>
      <c r="H24" s="80" t="e">
        <f>Financials!$H$43+Financials!$H$45+(Financials!$H$44*(H3/$C$3))</f>
        <v>#DIV/0!</v>
      </c>
      <c r="I24" s="80" t="e">
        <f>Financials!$H$43+Financials!$H$45+(Financials!$H$44*(I3/$C$3))</f>
        <v>#DIV/0!</v>
      </c>
      <c r="J24" s="80" t="e">
        <f>Financials!$H$43+Financials!$H$45+(Financials!$H$44*(J3/$C$3))</f>
        <v>#DIV/0!</v>
      </c>
      <c r="K24" s="80" t="e">
        <f>Financials!$H$43+Financials!$H$45+(Financials!$H$44*(K3/$C$3))</f>
        <v>#DIV/0!</v>
      </c>
      <c r="L24" s="80" t="e">
        <f>Financials!$H$43+Financials!$H$45+(Financials!$H$44*(L3/$C$3))</f>
        <v>#DIV/0!</v>
      </c>
      <c r="M24" s="80" t="e">
        <f>Financials!$H$43+Financials!$H$45+(Financials!$H$44*(M3/$C$3))</f>
        <v>#DIV/0!</v>
      </c>
      <c r="N24" s="80" t="e">
        <f>Financials!$H$43+Financials!$H$45+(Financials!$H$44*(N3/$C$3))</f>
        <v>#DIV/0!</v>
      </c>
      <c r="O24" s="80" t="e">
        <f>Financials!$H$43+Financials!$H$45+(Financials!$H$44*(O3/$C$3))</f>
        <v>#DIV/0!</v>
      </c>
      <c r="P24" s="65" t="e">
        <f>SUM(D24:O24)</f>
        <v>#DIV/0!</v>
      </c>
      <c r="Q24" s="66"/>
      <c r="S24" s="10"/>
    </row>
    <row r="25" spans="1:20" x14ac:dyDescent="0.35">
      <c r="A25" s="372"/>
      <c r="B25" s="10" t="s">
        <v>209</v>
      </c>
      <c r="C25" s="8"/>
      <c r="D25" s="87">
        <v>0</v>
      </c>
      <c r="E25" s="80">
        <f>Financials!H45</f>
        <v>0</v>
      </c>
      <c r="F25" s="80">
        <f t="shared" ref="F25:O27" si="10">E25</f>
        <v>0</v>
      </c>
      <c r="G25" s="80">
        <f t="shared" si="10"/>
        <v>0</v>
      </c>
      <c r="H25" s="80">
        <f t="shared" si="10"/>
        <v>0</v>
      </c>
      <c r="I25" s="80">
        <f t="shared" si="10"/>
        <v>0</v>
      </c>
      <c r="J25" s="80">
        <f t="shared" si="10"/>
        <v>0</v>
      </c>
      <c r="K25" s="80">
        <f t="shared" si="10"/>
        <v>0</v>
      </c>
      <c r="L25" s="80">
        <f t="shared" si="10"/>
        <v>0</v>
      </c>
      <c r="M25" s="80">
        <f t="shared" si="10"/>
        <v>0</v>
      </c>
      <c r="N25" s="80">
        <f t="shared" si="10"/>
        <v>0</v>
      </c>
      <c r="O25" s="80">
        <f t="shared" si="10"/>
        <v>0</v>
      </c>
      <c r="P25" s="65">
        <f t="shared" si="7"/>
        <v>0</v>
      </c>
      <c r="Q25" s="66"/>
      <c r="S25" s="10"/>
    </row>
    <row r="26" spans="1:20" x14ac:dyDescent="0.35">
      <c r="A26" s="372"/>
      <c r="B26" s="10" t="s">
        <v>124</v>
      </c>
      <c r="C26" s="8"/>
      <c r="D26" s="87">
        <v>0</v>
      </c>
      <c r="E26" s="80">
        <v>0</v>
      </c>
      <c r="F26" s="80">
        <v>0</v>
      </c>
      <c r="G26" s="80">
        <v>0</v>
      </c>
      <c r="H26" s="80">
        <v>0</v>
      </c>
      <c r="I26" s="80">
        <v>0</v>
      </c>
      <c r="J26" s="80">
        <f t="shared" si="10"/>
        <v>0</v>
      </c>
      <c r="K26" s="80">
        <f t="shared" si="10"/>
        <v>0</v>
      </c>
      <c r="L26" s="80">
        <f t="shared" si="10"/>
        <v>0</v>
      </c>
      <c r="M26" s="80">
        <f t="shared" si="10"/>
        <v>0</v>
      </c>
      <c r="N26" s="80">
        <f t="shared" si="10"/>
        <v>0</v>
      </c>
      <c r="O26" s="80">
        <f>Financials!F38</f>
        <v>0</v>
      </c>
      <c r="P26" s="65">
        <f t="shared" si="7"/>
        <v>0</v>
      </c>
      <c r="Q26" s="66"/>
    </row>
    <row r="27" spans="1:20" x14ac:dyDescent="0.35">
      <c r="A27" s="372"/>
      <c r="B27" s="10" t="s">
        <v>210</v>
      </c>
      <c r="C27" s="8"/>
      <c r="D27" s="87">
        <v>0</v>
      </c>
      <c r="E27" s="80">
        <f>D27</f>
        <v>0</v>
      </c>
      <c r="F27" s="80">
        <f t="shared" si="10"/>
        <v>0</v>
      </c>
      <c r="G27" s="80">
        <f t="shared" si="10"/>
        <v>0</v>
      </c>
      <c r="H27" s="80">
        <f t="shared" si="10"/>
        <v>0</v>
      </c>
      <c r="I27" s="80">
        <f t="shared" si="10"/>
        <v>0</v>
      </c>
      <c r="J27" s="80">
        <f t="shared" si="10"/>
        <v>0</v>
      </c>
      <c r="K27" s="80">
        <f t="shared" si="10"/>
        <v>0</v>
      </c>
      <c r="L27" s="80">
        <f t="shared" si="10"/>
        <v>0</v>
      </c>
      <c r="M27" s="80">
        <f t="shared" si="10"/>
        <v>0</v>
      </c>
      <c r="N27" s="80">
        <f t="shared" si="10"/>
        <v>0</v>
      </c>
      <c r="O27" s="80">
        <f>Financials!F39</f>
        <v>0</v>
      </c>
      <c r="P27" s="65">
        <f t="shared" si="7"/>
        <v>0</v>
      </c>
      <c r="Q27" s="66"/>
    </row>
    <row r="28" spans="1:20" ht="16" x14ac:dyDescent="0.5">
      <c r="A28" s="374"/>
      <c r="B28" s="52" t="s">
        <v>128</v>
      </c>
      <c r="C28" s="109"/>
      <c r="D28" s="88">
        <v>0</v>
      </c>
      <c r="E28" s="82">
        <v>0</v>
      </c>
      <c r="F28" s="82">
        <v>0</v>
      </c>
      <c r="G28" s="82">
        <f t="shared" ref="G28:N28" si="11">F28</f>
        <v>0</v>
      </c>
      <c r="H28" s="82">
        <f t="shared" si="11"/>
        <v>0</v>
      </c>
      <c r="I28" s="82">
        <f t="shared" si="11"/>
        <v>0</v>
      </c>
      <c r="J28" s="82">
        <f t="shared" si="11"/>
        <v>0</v>
      </c>
      <c r="K28" s="82">
        <f t="shared" si="11"/>
        <v>0</v>
      </c>
      <c r="L28" s="82">
        <f t="shared" si="11"/>
        <v>0</v>
      </c>
      <c r="M28" s="82">
        <f t="shared" si="11"/>
        <v>0</v>
      </c>
      <c r="N28" s="82">
        <f t="shared" si="11"/>
        <v>0</v>
      </c>
      <c r="O28" s="82">
        <f>Financials!F40</f>
        <v>0</v>
      </c>
      <c r="P28" s="99">
        <f t="shared" si="7"/>
        <v>0</v>
      </c>
      <c r="Q28" s="66"/>
    </row>
    <row r="29" spans="1:20" ht="16" x14ac:dyDescent="0.35">
      <c r="A29" s="8"/>
      <c r="B29" s="107" t="s">
        <v>211</v>
      </c>
      <c r="C29" s="89"/>
      <c r="D29" s="90">
        <f t="shared" ref="D29:O29" si="12">SUM(D15:D28)</f>
        <v>0</v>
      </c>
      <c r="E29" s="91" t="e">
        <f t="shared" si="12"/>
        <v>#DIV/0!</v>
      </c>
      <c r="F29" s="91" t="e">
        <f t="shared" si="12"/>
        <v>#DIV/0!</v>
      </c>
      <c r="G29" s="91" t="e">
        <f t="shared" si="12"/>
        <v>#DIV/0!</v>
      </c>
      <c r="H29" s="91" t="e">
        <f t="shared" si="12"/>
        <v>#DIV/0!</v>
      </c>
      <c r="I29" s="91" t="e">
        <f t="shared" si="12"/>
        <v>#DIV/0!</v>
      </c>
      <c r="J29" s="91" t="e">
        <f t="shared" si="12"/>
        <v>#DIV/0!</v>
      </c>
      <c r="K29" s="91" t="e">
        <f t="shared" si="12"/>
        <v>#DIV/0!</v>
      </c>
      <c r="L29" s="91" t="e">
        <f t="shared" si="12"/>
        <v>#DIV/0!</v>
      </c>
      <c r="M29" s="91" t="e">
        <f t="shared" si="12"/>
        <v>#DIV/0!</v>
      </c>
      <c r="N29" s="91" t="e">
        <f t="shared" si="12"/>
        <v>#DIV/0!</v>
      </c>
      <c r="O29" s="91" t="e">
        <f t="shared" si="12"/>
        <v>#DIV/0!</v>
      </c>
      <c r="P29" s="65" t="e">
        <f t="shared" si="7"/>
        <v>#DIV/0!</v>
      </c>
      <c r="Q29" s="66"/>
    </row>
    <row r="30" spans="1:20" s="36" customFormat="1" ht="15" thickBot="1" x14ac:dyDescent="0.4">
      <c r="A30" s="92"/>
      <c r="B30" s="373" t="s">
        <v>136</v>
      </c>
      <c r="C30" s="373"/>
      <c r="D30" s="100" t="e">
        <f t="shared" ref="D30:O30" si="13">D13-D29</f>
        <v>#DIV/0!</v>
      </c>
      <c r="E30" s="100" t="e">
        <f t="shared" si="13"/>
        <v>#DIV/0!</v>
      </c>
      <c r="F30" s="100" t="e">
        <f t="shared" si="13"/>
        <v>#DIV/0!</v>
      </c>
      <c r="G30" s="100" t="e">
        <f t="shared" si="13"/>
        <v>#DIV/0!</v>
      </c>
      <c r="H30" s="100" t="e">
        <f t="shared" si="13"/>
        <v>#DIV/0!</v>
      </c>
      <c r="I30" s="100" t="e">
        <f t="shared" si="13"/>
        <v>#DIV/0!</v>
      </c>
      <c r="J30" s="100" t="e">
        <f t="shared" si="13"/>
        <v>#DIV/0!</v>
      </c>
      <c r="K30" s="100" t="e">
        <f t="shared" si="13"/>
        <v>#DIV/0!</v>
      </c>
      <c r="L30" s="100" t="e">
        <f t="shared" si="13"/>
        <v>#DIV/0!</v>
      </c>
      <c r="M30" s="100" t="e">
        <f t="shared" si="13"/>
        <v>#DIV/0!</v>
      </c>
      <c r="N30" s="100" t="e">
        <f t="shared" si="13"/>
        <v>#DIV/0!</v>
      </c>
      <c r="O30" s="100" t="e">
        <f t="shared" si="13"/>
        <v>#DIV/0!</v>
      </c>
      <c r="P30" s="101" t="e">
        <f>SUM(D30:O30)</f>
        <v>#DIV/0!</v>
      </c>
      <c r="Q30" s="74"/>
      <c r="R30" s="54"/>
      <c r="S30" s="53"/>
      <c r="T30" s="54"/>
    </row>
    <row r="31" spans="1:20" s="36" customFormat="1" ht="15" thickBot="1" x14ac:dyDescent="0.4">
      <c r="A31" s="92"/>
      <c r="B31" s="93" t="s">
        <v>212</v>
      </c>
      <c r="C31" s="94"/>
      <c r="D31" s="102" t="e">
        <f>D30</f>
        <v>#DIV/0!</v>
      </c>
      <c r="E31" s="100" t="e">
        <f>D31+E30</f>
        <v>#DIV/0!</v>
      </c>
      <c r="F31" s="100" t="e">
        <f t="shared" ref="F31:O31" si="14">E31+F30</f>
        <v>#DIV/0!</v>
      </c>
      <c r="G31" s="100" t="e">
        <f t="shared" si="14"/>
        <v>#DIV/0!</v>
      </c>
      <c r="H31" s="100" t="e">
        <f t="shared" si="14"/>
        <v>#DIV/0!</v>
      </c>
      <c r="I31" s="100" t="e">
        <f t="shared" si="14"/>
        <v>#DIV/0!</v>
      </c>
      <c r="J31" s="100" t="e">
        <f t="shared" si="14"/>
        <v>#DIV/0!</v>
      </c>
      <c r="K31" s="100" t="e">
        <f t="shared" si="14"/>
        <v>#DIV/0!</v>
      </c>
      <c r="L31" s="100" t="e">
        <f t="shared" si="14"/>
        <v>#DIV/0!</v>
      </c>
      <c r="M31" s="100" t="e">
        <f t="shared" si="14"/>
        <v>#DIV/0!</v>
      </c>
      <c r="N31" s="100" t="e">
        <f t="shared" si="14"/>
        <v>#DIV/0!</v>
      </c>
      <c r="O31" s="100" t="e">
        <f t="shared" si="14"/>
        <v>#DIV/0!</v>
      </c>
      <c r="P31" s="101" t="e">
        <f>O31</f>
        <v>#DIV/0!</v>
      </c>
      <c r="Q31" s="74"/>
      <c r="R31" s="54"/>
      <c r="S31" s="53"/>
      <c r="T31" s="54"/>
    </row>
    <row r="32" spans="1:20" s="12" customFormat="1" x14ac:dyDescent="0.35">
      <c r="B32" s="28"/>
      <c r="C32" s="28"/>
      <c r="D32" s="28"/>
      <c r="E32" s="28"/>
      <c r="F32" s="28"/>
      <c r="G32" s="28"/>
      <c r="H32" s="28"/>
      <c r="I32" s="28"/>
      <c r="J32" s="28"/>
      <c r="K32" s="28"/>
      <c r="P32" s="28"/>
      <c r="Q32" s="28"/>
    </row>
    <row r="33" spans="4:4" x14ac:dyDescent="0.35">
      <c r="D33" s="32"/>
    </row>
    <row r="34" spans="4:4" x14ac:dyDescent="0.35">
      <c r="D34" s="32"/>
    </row>
    <row r="35" spans="4:4" x14ac:dyDescent="0.35">
      <c r="D35" s="32"/>
    </row>
    <row r="36" spans="4:4" x14ac:dyDescent="0.35">
      <c r="D36" s="32"/>
    </row>
  </sheetData>
  <mergeCells count="3">
    <mergeCell ref="A15:A23"/>
    <mergeCell ref="B30:C30"/>
    <mergeCell ref="A24:A28"/>
  </mergeCells>
  <pageMargins left="0.7" right="0.7" top="0.75" bottom="0.75" header="0.3" footer="0.3"/>
  <pageSetup scale="61" orientation="landscape" r:id="rId1"/>
  <ignoredErrors>
    <ignoredError sqref="E22:O2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4061-ED4D-449E-BBE0-1621E756DB85}">
  <sheetPr>
    <pageSetUpPr fitToPage="1"/>
  </sheetPr>
  <dimension ref="A1:AA49"/>
  <sheetViews>
    <sheetView zoomScale="130" zoomScaleNormal="130" workbookViewId="0">
      <selection activeCell="E11" sqref="E11"/>
    </sheetView>
  </sheetViews>
  <sheetFormatPr defaultColWidth="8.7265625" defaultRowHeight="14.5" x14ac:dyDescent="0.35"/>
  <cols>
    <col min="1" max="1" width="6.1796875" style="12" customWidth="1"/>
    <col min="2" max="2" width="16.26953125" style="1" customWidth="1"/>
    <col min="3" max="3" width="4.26953125" style="1" customWidth="1"/>
    <col min="4" max="4" width="10.453125" style="1" customWidth="1"/>
    <col min="5" max="5" width="6" style="1" customWidth="1"/>
    <col min="6" max="6" width="15.54296875" style="1" customWidth="1"/>
    <col min="7" max="7" width="4.54296875" style="12" customWidth="1"/>
    <col min="8" max="8" width="15.54296875" style="1" customWidth="1"/>
    <col min="9" max="9" width="4.54296875" style="12" customWidth="1"/>
    <col min="10" max="10" width="15.54296875" style="1" customWidth="1"/>
    <col min="11" max="11" width="4.54296875" style="12" customWidth="1"/>
    <col min="12" max="12" width="0.81640625" style="12" customWidth="1"/>
    <col min="13" max="27" width="8.7265625" style="12"/>
    <col min="28" max="16384" width="8.7265625" style="1"/>
  </cols>
  <sheetData>
    <row r="1" spans="1:17" s="42" customFormat="1" ht="15" customHeight="1" x14ac:dyDescent="0.35">
      <c r="A1" s="375" t="s">
        <v>213</v>
      </c>
      <c r="B1" s="375"/>
      <c r="C1" s="375"/>
      <c r="D1" s="375"/>
      <c r="E1" s="375"/>
      <c r="F1" s="375"/>
      <c r="G1" s="376"/>
      <c r="H1" s="376"/>
      <c r="I1" s="376"/>
      <c r="J1" s="376"/>
      <c r="K1" s="376"/>
      <c r="L1" s="38"/>
      <c r="M1" s="38"/>
      <c r="N1" s="38"/>
      <c r="O1" s="38"/>
      <c r="P1" s="38"/>
      <c r="Q1" s="38"/>
    </row>
    <row r="2" spans="1:17" s="42" customFormat="1" ht="15" customHeight="1" x14ac:dyDescent="0.35">
      <c r="A2" s="375"/>
      <c r="B2" s="375"/>
      <c r="C2" s="375"/>
      <c r="D2" s="375"/>
      <c r="E2" s="375"/>
      <c r="F2" s="375"/>
      <c r="G2" s="377"/>
      <c r="H2" s="377"/>
      <c r="I2" s="377"/>
      <c r="J2" s="377"/>
      <c r="K2" s="377"/>
    </row>
    <row r="3" spans="1:17" s="12" customFormat="1" x14ac:dyDescent="0.35"/>
    <row r="4" spans="1:17" x14ac:dyDescent="0.35">
      <c r="A4" s="3"/>
      <c r="B4" s="4"/>
      <c r="C4" s="2"/>
      <c r="D4" s="3"/>
      <c r="E4" s="3"/>
      <c r="F4" s="121" t="s">
        <v>214</v>
      </c>
      <c r="G4" s="121"/>
      <c r="H4" s="121" t="s">
        <v>215</v>
      </c>
      <c r="I4" s="121"/>
      <c r="J4" s="121" t="s">
        <v>216</v>
      </c>
      <c r="K4" s="33"/>
    </row>
    <row r="5" spans="1:17" s="12" customFormat="1" x14ac:dyDescent="0.35">
      <c r="C5" s="16" t="s">
        <v>217</v>
      </c>
      <c r="F5" s="18">
        <v>2022</v>
      </c>
      <c r="H5" s="18">
        <v>2022</v>
      </c>
      <c r="J5" s="18">
        <v>2022</v>
      </c>
    </row>
    <row r="6" spans="1:17" s="12" customFormat="1" x14ac:dyDescent="0.35">
      <c r="C6" s="16" t="s">
        <v>218</v>
      </c>
      <c r="F6" s="18">
        <v>23</v>
      </c>
      <c r="H6" s="18">
        <v>22</v>
      </c>
      <c r="J6" s="18">
        <v>25</v>
      </c>
    </row>
    <row r="7" spans="1:17" s="12" customFormat="1" x14ac:dyDescent="0.35">
      <c r="C7" s="16" t="s">
        <v>8</v>
      </c>
      <c r="F7" s="18">
        <v>1</v>
      </c>
      <c r="H7" s="18">
        <v>1</v>
      </c>
      <c r="J7" s="18">
        <v>1</v>
      </c>
    </row>
    <row r="8" spans="1:17" s="12" customFormat="1" x14ac:dyDescent="0.35">
      <c r="C8" s="16" t="s">
        <v>219</v>
      </c>
      <c r="F8" s="118" t="s">
        <v>220</v>
      </c>
      <c r="H8" s="118">
        <v>4120</v>
      </c>
      <c r="J8" s="118" t="s">
        <v>221</v>
      </c>
    </row>
    <row r="9" spans="1:17" s="12" customFormat="1" x14ac:dyDescent="0.35">
      <c r="C9" s="16" t="s">
        <v>222</v>
      </c>
      <c r="F9" s="18" t="s">
        <v>223</v>
      </c>
      <c r="H9" s="18" t="s">
        <v>224</v>
      </c>
      <c r="J9" s="18" t="s">
        <v>224</v>
      </c>
    </row>
    <row r="10" spans="1:17" s="12" customFormat="1" x14ac:dyDescent="0.35">
      <c r="C10" s="16" t="s">
        <v>225</v>
      </c>
      <c r="F10" s="18" t="s">
        <v>226</v>
      </c>
      <c r="H10" s="18" t="s">
        <v>227</v>
      </c>
      <c r="J10" s="18" t="s">
        <v>228</v>
      </c>
    </row>
    <row r="11" spans="1:17" s="12" customFormat="1" x14ac:dyDescent="0.35">
      <c r="C11" s="16" t="s">
        <v>229</v>
      </c>
      <c r="F11" s="18" t="s">
        <v>230</v>
      </c>
      <c r="H11" s="18" t="s">
        <v>230</v>
      </c>
      <c r="J11" s="18" t="s">
        <v>230</v>
      </c>
    </row>
    <row r="12" spans="1:17" s="12" customFormat="1" x14ac:dyDescent="0.35"/>
    <row r="13" spans="1:17" x14ac:dyDescent="0.35">
      <c r="A13" s="3"/>
      <c r="B13" s="4" t="s">
        <v>89</v>
      </c>
      <c r="C13" s="2"/>
      <c r="D13" s="3"/>
      <c r="E13" s="3"/>
      <c r="F13" s="120" t="s">
        <v>42</v>
      </c>
      <c r="G13" s="120"/>
      <c r="H13" s="120" t="s">
        <v>42</v>
      </c>
      <c r="I13" s="120"/>
      <c r="J13" s="120" t="s">
        <v>42</v>
      </c>
      <c r="K13" s="33"/>
    </row>
    <row r="14" spans="1:17" s="12" customFormat="1" x14ac:dyDescent="0.35">
      <c r="A14" s="8"/>
      <c r="B14" s="16" t="s">
        <v>231</v>
      </c>
      <c r="C14" s="43"/>
      <c r="D14" s="43"/>
      <c r="E14" s="43"/>
      <c r="F14" s="17">
        <v>168634</v>
      </c>
      <c r="G14" s="8"/>
      <c r="H14" s="17">
        <v>149037</v>
      </c>
      <c r="I14" s="8"/>
      <c r="J14" s="17">
        <v>142560</v>
      </c>
      <c r="K14" s="8"/>
    </row>
    <row r="15" spans="1:17" s="12" customFormat="1" x14ac:dyDescent="0.35">
      <c r="A15" s="8"/>
      <c r="B15" s="7"/>
      <c r="C15" s="8"/>
      <c r="D15" s="20"/>
      <c r="E15" s="117"/>
      <c r="F15" s="9">
        <f>(-IF(Assumptions!D12="Free Rent",(Assumptions!D16*52),IF(Assumptions!D12="Half Rent",(Assumptions!D16*52/2),IF(Assumptions!D12="No Compensation",0))))*E15</f>
        <v>0</v>
      </c>
      <c r="H15" s="9">
        <v>0</v>
      </c>
      <c r="J15" s="9">
        <f>(-IF(Assumptions!L8="Free Rent",(Assumptions!#REF!*52),IF(Assumptions!L8="Half Rent",(Assumptions!#REF!*52/2),IF(Assumptions!L8="No Compensation",0))))*I15</f>
        <v>0</v>
      </c>
    </row>
    <row r="16" spans="1:17" s="12" customFormat="1" ht="16" x14ac:dyDescent="0.5">
      <c r="A16" s="8"/>
      <c r="B16" s="7"/>
      <c r="C16" s="8"/>
      <c r="D16" s="8"/>
      <c r="E16" s="116"/>
      <c r="F16" s="14">
        <f>-F14*E16</f>
        <v>0</v>
      </c>
      <c r="H16" s="14">
        <v>0</v>
      </c>
      <c r="J16" s="14">
        <f>-J14*I16</f>
        <v>0</v>
      </c>
    </row>
    <row r="17" spans="1:11" s="12" customFormat="1" x14ac:dyDescent="0.35">
      <c r="A17" s="8"/>
      <c r="B17" s="16" t="s">
        <v>232</v>
      </c>
      <c r="C17" s="43"/>
      <c r="D17" s="43"/>
      <c r="E17" s="43"/>
      <c r="F17" s="17">
        <f>SUM(F14:F16)</f>
        <v>168634</v>
      </c>
      <c r="G17" s="8"/>
      <c r="H17" s="17">
        <f>SUM(H14:H16)</f>
        <v>149037</v>
      </c>
      <c r="I17" s="8"/>
      <c r="J17" s="17">
        <f>SUM(J14:J16)</f>
        <v>142560</v>
      </c>
      <c r="K17" s="8"/>
    </row>
    <row r="18" spans="1:11" s="12" customFormat="1" x14ac:dyDescent="0.35">
      <c r="A18" s="8"/>
      <c r="B18" s="15"/>
      <c r="C18" s="43"/>
      <c r="D18" s="43"/>
      <c r="E18" s="45"/>
      <c r="F18" s="17"/>
      <c r="H18" s="17"/>
      <c r="J18" s="17"/>
    </row>
    <row r="19" spans="1:11" s="12" customFormat="1" x14ac:dyDescent="0.35">
      <c r="A19" s="8"/>
      <c r="B19" s="16" t="s">
        <v>98</v>
      </c>
      <c r="C19" s="43"/>
      <c r="D19" s="43"/>
      <c r="E19" s="45"/>
      <c r="F19" s="17"/>
      <c r="H19" s="17"/>
      <c r="J19" s="17"/>
    </row>
    <row r="20" spans="1:11" s="12" customFormat="1" x14ac:dyDescent="0.35">
      <c r="A20" s="8"/>
      <c r="B20" s="7" t="s">
        <v>99</v>
      </c>
      <c r="C20" s="8"/>
      <c r="D20" s="8"/>
      <c r="E20" s="11"/>
      <c r="F20" s="9">
        <v>6964</v>
      </c>
      <c r="G20" s="8"/>
      <c r="H20" s="9">
        <v>10921</v>
      </c>
      <c r="I20" s="8"/>
      <c r="J20" s="9">
        <v>4965</v>
      </c>
      <c r="K20" s="8"/>
    </row>
    <row r="21" spans="1:11" s="12" customFormat="1" x14ac:dyDescent="0.35">
      <c r="A21" s="8"/>
      <c r="B21" s="7" t="s">
        <v>101</v>
      </c>
      <c r="C21" s="8"/>
      <c r="D21" s="8"/>
      <c r="E21" s="8"/>
      <c r="F21" s="9">
        <v>1562</v>
      </c>
      <c r="H21" s="9">
        <v>3880</v>
      </c>
      <c r="J21" s="9">
        <v>2369</v>
      </c>
    </row>
    <row r="22" spans="1:11" s="12" customFormat="1" ht="16" x14ac:dyDescent="0.5">
      <c r="A22" s="8"/>
      <c r="B22" s="7" t="s">
        <v>103</v>
      </c>
      <c r="C22" s="13"/>
      <c r="D22" s="13"/>
      <c r="E22" s="110"/>
      <c r="F22" s="9">
        <v>681</v>
      </c>
      <c r="G22" s="8"/>
      <c r="H22" s="9">
        <v>1663</v>
      </c>
      <c r="I22" s="8"/>
      <c r="J22" s="9">
        <v>1436</v>
      </c>
      <c r="K22" s="8"/>
    </row>
    <row r="23" spans="1:11" s="12" customFormat="1" ht="16" x14ac:dyDescent="0.5">
      <c r="A23" s="8"/>
      <c r="B23" s="7" t="s">
        <v>105</v>
      </c>
      <c r="C23" s="13"/>
      <c r="D23" s="13"/>
      <c r="E23" s="110"/>
      <c r="F23" s="14">
        <f>Assumptions!D106*12</f>
        <v>0</v>
      </c>
      <c r="G23" s="13"/>
      <c r="H23" s="14">
        <v>2999</v>
      </c>
      <c r="I23" s="13"/>
      <c r="J23" s="14">
        <f>Assumptions!R13*12</f>
        <v>0</v>
      </c>
      <c r="K23" s="13"/>
    </row>
    <row r="24" spans="1:11" ht="16" x14ac:dyDescent="0.5">
      <c r="A24" s="21"/>
      <c r="B24" s="23" t="s">
        <v>106</v>
      </c>
      <c r="C24" s="21"/>
      <c r="D24" s="21"/>
      <c r="E24" s="21"/>
      <c r="F24" s="22">
        <f>SUM(F17:F23)</f>
        <v>177841</v>
      </c>
      <c r="G24" s="5"/>
      <c r="H24" s="22">
        <f>SUM(H17:H23)</f>
        <v>168500</v>
      </c>
      <c r="I24" s="5"/>
      <c r="J24" s="22">
        <f>SUM(J17:J23)</f>
        <v>151330</v>
      </c>
      <c r="K24" s="5"/>
    </row>
    <row r="25" spans="1:11" s="12" customFormat="1" x14ac:dyDescent="0.35">
      <c r="A25" s="8"/>
    </row>
    <row r="26" spans="1:11" x14ac:dyDescent="0.35">
      <c r="A26" s="3"/>
      <c r="B26" s="113" t="s">
        <v>108</v>
      </c>
      <c r="C26" s="3"/>
      <c r="D26" s="3"/>
      <c r="E26" s="6"/>
      <c r="F26" s="3"/>
      <c r="G26" s="3"/>
      <c r="H26" s="3"/>
      <c r="I26" s="3"/>
      <c r="J26" s="3"/>
      <c r="K26" s="3"/>
    </row>
    <row r="27" spans="1:11" s="12" customFormat="1" ht="14.5" customHeight="1" x14ac:dyDescent="0.35">
      <c r="A27" s="378"/>
      <c r="B27" s="16" t="s">
        <v>205</v>
      </c>
      <c r="C27" s="43"/>
      <c r="D27" s="43"/>
      <c r="E27" s="103"/>
      <c r="F27" s="104">
        <v>5005.67</v>
      </c>
      <c r="G27" s="8"/>
      <c r="H27" s="104">
        <v>3492</v>
      </c>
      <c r="I27" s="8"/>
      <c r="J27" s="104">
        <v>5095</v>
      </c>
      <c r="K27" s="8"/>
    </row>
    <row r="28" spans="1:11" s="12" customFormat="1" x14ac:dyDescent="0.35">
      <c r="A28" s="378"/>
      <c r="B28" s="16" t="s">
        <v>206</v>
      </c>
      <c r="C28" s="43"/>
      <c r="D28" s="43"/>
      <c r="E28" s="103"/>
      <c r="F28" s="104">
        <v>8823.33</v>
      </c>
      <c r="G28" s="9"/>
      <c r="H28" s="104">
        <v>6822</v>
      </c>
      <c r="I28" s="9"/>
      <c r="J28" s="104">
        <v>5889</v>
      </c>
      <c r="K28" s="9"/>
    </row>
    <row r="29" spans="1:11" s="12" customFormat="1" x14ac:dyDescent="0.35">
      <c r="A29" s="378"/>
      <c r="B29" s="16" t="s">
        <v>207</v>
      </c>
      <c r="C29" s="43"/>
      <c r="D29" s="43"/>
      <c r="E29" s="103"/>
      <c r="F29" s="104">
        <v>3015</v>
      </c>
      <c r="G29" s="8"/>
      <c r="H29" s="104">
        <v>1032</v>
      </c>
      <c r="I29" s="8"/>
      <c r="J29" s="104">
        <v>2320</v>
      </c>
      <c r="K29" s="8"/>
    </row>
    <row r="30" spans="1:11" s="12" customFormat="1" x14ac:dyDescent="0.35">
      <c r="A30" s="378"/>
      <c r="B30" s="16" t="s">
        <v>118</v>
      </c>
      <c r="C30" s="43"/>
      <c r="D30" s="43"/>
      <c r="E30" s="103"/>
      <c r="F30" s="105">
        <v>830.7</v>
      </c>
      <c r="G30" s="8"/>
      <c r="H30" s="105">
        <v>183.3</v>
      </c>
      <c r="I30" s="8"/>
      <c r="J30" s="105">
        <v>831</v>
      </c>
      <c r="K30" s="8"/>
    </row>
    <row r="31" spans="1:11" s="12" customFormat="1" x14ac:dyDescent="0.35">
      <c r="A31" s="378"/>
      <c r="B31" s="16" t="s">
        <v>119</v>
      </c>
      <c r="C31" s="44"/>
      <c r="D31" s="44"/>
      <c r="E31" s="103"/>
      <c r="F31" s="105">
        <v>1064</v>
      </c>
      <c r="H31" s="105">
        <v>501</v>
      </c>
      <c r="J31" s="105">
        <v>1413</v>
      </c>
    </row>
    <row r="32" spans="1:11" s="12" customFormat="1" x14ac:dyDescent="0.35">
      <c r="A32" s="378"/>
      <c r="B32" s="16" t="s">
        <v>120</v>
      </c>
      <c r="C32" s="43"/>
      <c r="D32" s="43"/>
      <c r="E32" s="103"/>
      <c r="F32" s="105">
        <v>1011</v>
      </c>
      <c r="G32" s="8"/>
      <c r="H32" s="105">
        <v>471</v>
      </c>
      <c r="I32" s="8"/>
      <c r="J32" s="105">
        <v>225</v>
      </c>
      <c r="K32" s="8"/>
    </row>
    <row r="33" spans="1:11" s="12" customFormat="1" x14ac:dyDescent="0.35">
      <c r="A33" s="378"/>
      <c r="B33" s="16" t="s">
        <v>37</v>
      </c>
      <c r="C33" s="43"/>
      <c r="D33" s="43"/>
      <c r="E33" s="106"/>
      <c r="F33" s="105">
        <v>1114</v>
      </c>
      <c r="G33" s="8"/>
      <c r="H33" s="105">
        <v>593</v>
      </c>
      <c r="I33" s="8"/>
      <c r="J33" s="105">
        <v>974</v>
      </c>
      <c r="K33" s="8"/>
    </row>
    <row r="34" spans="1:11" s="12" customFormat="1" x14ac:dyDescent="0.35">
      <c r="A34" s="378"/>
      <c r="B34" s="16" t="s">
        <v>121</v>
      </c>
      <c r="C34" s="44"/>
      <c r="D34" s="44"/>
      <c r="E34" s="106"/>
      <c r="F34" s="104">
        <v>228</v>
      </c>
      <c r="G34" s="8"/>
      <c r="H34" s="104">
        <v>214</v>
      </c>
      <c r="I34" s="8"/>
      <c r="J34" s="104">
        <v>1443</v>
      </c>
      <c r="K34" s="8"/>
    </row>
    <row r="35" spans="1:11" s="12" customFormat="1" x14ac:dyDescent="0.35">
      <c r="A35" s="379"/>
      <c r="B35" s="16" t="s">
        <v>122</v>
      </c>
      <c r="C35" s="43"/>
      <c r="D35" s="43"/>
      <c r="E35" s="106"/>
      <c r="F35" s="105">
        <v>0</v>
      </c>
      <c r="G35" s="8"/>
      <c r="H35" s="105">
        <v>0</v>
      </c>
      <c r="I35" s="8"/>
      <c r="J35" s="105">
        <v>0</v>
      </c>
      <c r="K35" s="8"/>
    </row>
    <row r="36" spans="1:11" s="12" customFormat="1" x14ac:dyDescent="0.35">
      <c r="A36" s="379"/>
      <c r="B36" s="16" t="s">
        <v>124</v>
      </c>
      <c r="C36" s="44"/>
      <c r="D36" s="44"/>
      <c r="E36" s="106"/>
      <c r="F36" s="105">
        <v>0</v>
      </c>
      <c r="G36" s="8"/>
      <c r="H36" s="105">
        <v>0</v>
      </c>
      <c r="I36" s="8"/>
      <c r="J36" s="105">
        <v>570</v>
      </c>
      <c r="K36" s="8"/>
    </row>
    <row r="37" spans="1:11" s="12" customFormat="1" x14ac:dyDescent="0.35">
      <c r="A37" s="379"/>
      <c r="B37" s="16" t="s">
        <v>233</v>
      </c>
      <c r="C37" s="43"/>
      <c r="D37" s="43"/>
      <c r="E37" s="106"/>
      <c r="F37" s="105">
        <v>0</v>
      </c>
      <c r="G37" s="8"/>
      <c r="H37" s="105">
        <v>0</v>
      </c>
      <c r="I37" s="8"/>
      <c r="J37" s="105">
        <v>0</v>
      </c>
      <c r="K37" s="8"/>
    </row>
    <row r="38" spans="1:11" s="12" customFormat="1" x14ac:dyDescent="0.35">
      <c r="A38" s="379"/>
      <c r="B38" s="16" t="s">
        <v>128</v>
      </c>
      <c r="C38" s="43"/>
      <c r="D38" s="43"/>
      <c r="E38" s="106"/>
      <c r="F38" s="105">
        <v>425</v>
      </c>
      <c r="G38" s="8"/>
      <c r="H38" s="105">
        <v>525</v>
      </c>
      <c r="I38" s="8"/>
      <c r="J38" s="105">
        <v>1200</v>
      </c>
      <c r="K38" s="8"/>
    </row>
    <row r="39" spans="1:11" s="12" customFormat="1" x14ac:dyDescent="0.35">
      <c r="A39" s="112"/>
      <c r="B39" s="16"/>
      <c r="C39" s="43"/>
      <c r="D39" s="43"/>
      <c r="E39" s="106"/>
      <c r="F39" s="105"/>
      <c r="G39" s="8"/>
      <c r="H39" s="105"/>
      <c r="I39" s="8"/>
      <c r="J39" s="105"/>
      <c r="K39" s="8"/>
    </row>
    <row r="40" spans="1:11" x14ac:dyDescent="0.35">
      <c r="A40" s="3"/>
      <c r="B40" s="4" t="s">
        <v>129</v>
      </c>
      <c r="C40" s="3"/>
      <c r="D40" s="3"/>
      <c r="E40" s="6"/>
      <c r="F40" s="3"/>
      <c r="G40" s="3"/>
      <c r="H40" s="3"/>
      <c r="I40" s="3"/>
      <c r="J40" s="3"/>
      <c r="K40" s="3"/>
    </row>
    <row r="41" spans="1:11" s="12" customFormat="1" x14ac:dyDescent="0.35">
      <c r="B41" s="16" t="s">
        <v>111</v>
      </c>
      <c r="C41" s="43"/>
      <c r="D41" s="43"/>
      <c r="E41" s="114">
        <v>4.9000000000000002E-2</v>
      </c>
      <c r="F41" s="17">
        <f>MAX((12*960),(E41*F24))</f>
        <v>11520</v>
      </c>
      <c r="G41" s="8"/>
      <c r="H41" s="17">
        <f>MAX((12*960),(G41*H24))</f>
        <v>11520</v>
      </c>
      <c r="I41" s="8"/>
      <c r="J41" s="17">
        <f>MAX((12*960),(I41*J24))</f>
        <v>11520</v>
      </c>
      <c r="K41" s="8"/>
    </row>
    <row r="42" spans="1:11" s="12" customFormat="1" x14ac:dyDescent="0.35">
      <c r="B42" s="16" t="s">
        <v>209</v>
      </c>
      <c r="C42" s="43"/>
      <c r="D42" s="43"/>
      <c r="E42" s="106"/>
      <c r="F42" s="105">
        <f>F8*0.98</f>
        <v>6321</v>
      </c>
      <c r="G42" s="105"/>
      <c r="H42" s="105">
        <f t="shared" ref="H42:J42" si="0">H8*0.98</f>
        <v>4037.6</v>
      </c>
      <c r="I42" s="105"/>
      <c r="J42" s="105">
        <f t="shared" si="0"/>
        <v>5054.84</v>
      </c>
      <c r="K42" s="105"/>
    </row>
    <row r="43" spans="1:11" s="12" customFormat="1" x14ac:dyDescent="0.35"/>
    <row r="44" spans="1:11" x14ac:dyDescent="0.35">
      <c r="A44" s="3"/>
      <c r="B44" s="4" t="s">
        <v>23</v>
      </c>
      <c r="C44" s="3"/>
      <c r="D44" s="3"/>
      <c r="E44" s="6"/>
      <c r="F44" s="3"/>
      <c r="G44" s="3"/>
      <c r="H44" s="3"/>
      <c r="I44" s="3"/>
      <c r="J44" s="3"/>
      <c r="K44" s="3"/>
    </row>
    <row r="45" spans="1:11" s="12" customFormat="1" x14ac:dyDescent="0.35">
      <c r="B45" s="16" t="s">
        <v>132</v>
      </c>
      <c r="C45" s="43"/>
      <c r="D45" s="43"/>
      <c r="E45" s="103"/>
      <c r="F45" s="104">
        <f>8091*12</f>
        <v>97092</v>
      </c>
      <c r="G45" s="9"/>
      <c r="H45" s="104">
        <f>7800*12</f>
        <v>93600</v>
      </c>
      <c r="I45" s="9"/>
      <c r="J45" s="104">
        <f>7000*12</f>
        <v>84000</v>
      </c>
      <c r="K45" s="9"/>
    </row>
    <row r="46" spans="1:11" s="12" customFormat="1" ht="16" x14ac:dyDescent="0.5">
      <c r="B46" s="10"/>
      <c r="C46" s="43"/>
      <c r="D46" s="43"/>
      <c r="E46" s="103"/>
      <c r="F46" s="115"/>
      <c r="G46" s="9"/>
      <c r="H46" s="115"/>
      <c r="I46" s="9"/>
      <c r="J46" s="115"/>
      <c r="K46" s="9"/>
    </row>
    <row r="47" spans="1:11" ht="16" x14ac:dyDescent="0.5">
      <c r="A47" s="21"/>
      <c r="B47" s="23" t="s">
        <v>211</v>
      </c>
      <c r="C47" s="21"/>
      <c r="D47" s="21"/>
      <c r="E47" s="21"/>
      <c r="F47" s="22">
        <f>SUM(F27:F45)</f>
        <v>136449.70000000001</v>
      </c>
      <c r="G47" s="5"/>
      <c r="H47" s="22">
        <f>SUM(H27:H45)</f>
        <v>122990.9</v>
      </c>
      <c r="I47" s="5"/>
      <c r="J47" s="22">
        <f>SUM(J27:J45)</f>
        <v>120534.84</v>
      </c>
      <c r="K47" s="5"/>
    </row>
    <row r="48" spans="1:11" s="12" customFormat="1" x14ac:dyDescent="0.35"/>
    <row r="49" spans="1:11" ht="16" x14ac:dyDescent="0.5">
      <c r="A49" s="21"/>
      <c r="B49" s="23" t="s">
        <v>136</v>
      </c>
      <c r="C49" s="21"/>
      <c r="D49" s="21"/>
      <c r="E49" s="21"/>
      <c r="F49" s="22">
        <f>F24-F47</f>
        <v>41391.299999999988</v>
      </c>
      <c r="G49" s="119"/>
      <c r="H49" s="22">
        <f>H24-H47</f>
        <v>45509.100000000006</v>
      </c>
      <c r="I49" s="119"/>
      <c r="J49" s="22">
        <f>J24-J47</f>
        <v>30795.160000000003</v>
      </c>
      <c r="K49" s="119"/>
    </row>
  </sheetData>
  <mergeCells count="4">
    <mergeCell ref="A1:F2"/>
    <mergeCell ref="G1:K2"/>
    <mergeCell ref="A27:A34"/>
    <mergeCell ref="A35:A38"/>
  </mergeCells>
  <pageMargins left="0.25" right="0.25" top="0.5" bottom="0.5" header="0" footer="0"/>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9714cf-df7b-4d86-b046-c083747c40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AA78BDD24BC147A216D842AA86B421" ma:contentTypeVersion="10" ma:contentTypeDescription="Create a new document." ma:contentTypeScope="" ma:versionID="0a2ef9acbe4dcd37171fa707b15c11bc">
  <xsd:schema xmlns:xsd="http://www.w3.org/2001/XMLSchema" xmlns:xs="http://www.w3.org/2001/XMLSchema" xmlns:p="http://schemas.microsoft.com/office/2006/metadata/properties" xmlns:ns2="759714cf-df7b-4d86-b046-c083747c40d3" xmlns:ns3="f3e3eb48-495b-4faf-9973-23d490fe6b3d" targetNamespace="http://schemas.microsoft.com/office/2006/metadata/properties" ma:root="true" ma:fieldsID="1b2ea80bcfdf120ac9d34723fea4ff17" ns2:_="" ns3:_="">
    <xsd:import namespace="759714cf-df7b-4d86-b046-c083747c40d3"/>
    <xsd:import namespace="f3e3eb48-495b-4faf-9973-23d490fe6b3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9714cf-df7b-4d86-b046-c083747c4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2a9a6b6-c8d7-4b16-ab3d-be9775ac056e"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3eb48-495b-4faf-9973-23d490fe6b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4FED2-E9D8-46C8-AE70-706D3B0DA159}">
  <ds:schemaRefs>
    <ds:schemaRef ds:uri="http://schemas.microsoft.com/sharepoint/v3/contenttype/forms"/>
  </ds:schemaRefs>
</ds:datastoreItem>
</file>

<file path=customXml/itemProps2.xml><?xml version="1.0" encoding="utf-8"?>
<ds:datastoreItem xmlns:ds="http://schemas.openxmlformats.org/officeDocument/2006/customXml" ds:itemID="{90B44070-7751-4FED-B042-CDA0ECB0F01E}">
  <ds:schemaRefs>
    <ds:schemaRef ds:uri="http://schemas.microsoft.com/office/2006/metadata/properties"/>
    <ds:schemaRef ds:uri="http://schemas.microsoft.com/office/infopath/2007/PartnerControls"/>
    <ds:schemaRef ds:uri="759714cf-df7b-4d86-b046-c083747c40d3"/>
  </ds:schemaRefs>
</ds:datastoreItem>
</file>

<file path=customXml/itemProps3.xml><?xml version="1.0" encoding="utf-8"?>
<ds:datastoreItem xmlns:ds="http://schemas.openxmlformats.org/officeDocument/2006/customXml" ds:itemID="{019924D5-1A20-4011-9CD3-7E826EE20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9714cf-df7b-4d86-b046-c083747c40d3"/>
    <ds:schemaRef ds:uri="f3e3eb48-495b-4faf-9973-23d490fe6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Assumptions</vt:lpstr>
      <vt:lpstr>Financials</vt:lpstr>
      <vt:lpstr>Breakeven</vt:lpstr>
      <vt:lpstr>Startup</vt:lpstr>
      <vt:lpstr>12-Month Estimates</vt:lpstr>
      <vt:lpstr>Samples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Hunter Foote</cp:lastModifiedBy>
  <cp:revision/>
  <cp:lastPrinted>2024-01-07T13:52:37Z</cp:lastPrinted>
  <dcterms:created xsi:type="dcterms:W3CDTF">2018-11-08T22:56:14Z</dcterms:created>
  <dcterms:modified xsi:type="dcterms:W3CDTF">2024-01-07T15:09:45Z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0x0101004DAA78BDD24BC147A216D842AA86B421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MediaServiceImageTags">
    <vt:lpwstr/>
  </property>
</Properties>
</file>